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omments2.xml" ContentType="application/vnd.openxmlformats-officedocument.spreadsheetml.comments+xml"/>
  <Override PartName="/xl/customProperty7.bin" ContentType="application/vnd.openxmlformats-officedocument.spreadsheetml.customProperty"/>
  <Override PartName="/xl/comments3.xml" ContentType="application/vnd.openxmlformats-officedocument.spreadsheetml.comments+xml"/>
  <Override PartName="/xl/customProperty8.bin" ContentType="application/vnd.openxmlformats-officedocument.spreadsheetml.customProperty"/>
  <Override PartName="/xl/drawings/drawing1.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ustomProperty11.bin" ContentType="application/vnd.openxmlformats-officedocument.spreadsheetml.customProperty"/>
  <Override PartName="/xl/drawings/drawing3.xml" ContentType="application/vnd.openxmlformats-officedocument.drawing+xml"/>
  <Override PartName="/xl/customProperty12.bin" ContentType="application/vnd.openxmlformats-officedocument.spreadsheetml.customProperty"/>
  <Override PartName="/xl/drawings/drawing4.xml" ContentType="application/vnd.openxmlformats-officedocument.drawing+xml"/>
  <Override PartName="/xl/customProperty13.bin" ContentType="application/vnd.openxmlformats-officedocument.spreadsheetml.customProperty"/>
  <Override PartName="/xl/drawings/drawing5.xml" ContentType="application/vnd.openxmlformats-officedocument.drawing+xml"/>
  <Override PartName="/xl/customProperty14.bin" ContentType="application/vnd.openxmlformats-officedocument.spreadsheetml.customProperty"/>
  <Override PartName="/xl/drawings/drawing6.xml" ContentType="application/vnd.openxmlformats-officedocument.drawing+xml"/>
  <Override PartName="/xl/customProperty15.bin" ContentType="application/vnd.openxmlformats-officedocument.spreadsheetml.customProperty"/>
  <Override PartName="/xl/drawings/drawing7.xml" ContentType="application/vnd.openxmlformats-officedocument.drawing+xml"/>
  <Override PartName="/xl/comments4.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omments5.xml" ContentType="application/vnd.openxmlformats-officedocument.spreadsheetml.comments+xml"/>
  <Override PartName="/xl/customProperty18.bin" ContentType="application/vnd.openxmlformats-officedocument.spreadsheetml.customProperty"/>
  <Override PartName="/xl/drawings/drawing8.xml" ContentType="application/vnd.openxmlformats-officedocument.drawing+xml"/>
  <Override PartName="/xl/comments6.xml" ContentType="application/vnd.openxmlformats-officedocument.spreadsheetml.comments+xml"/>
  <Override PartName="/xl/customProperty19.bin" ContentType="application/vnd.openxmlformats-officedocument.spreadsheetml.customProperty"/>
  <Override PartName="/xl/drawings/drawing9.xml" ContentType="application/vnd.openxmlformats-officedocument.drawing+xml"/>
  <Override PartName="/xl/comments7.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omments8.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drawings/drawing10.xml" ContentType="application/vnd.openxmlformats-officedocument.drawing+xml"/>
  <Override PartName="/xl/comments9.xml" ContentType="application/vnd.openxmlformats-officedocument.spreadsheetml.comments+xml"/>
  <Override PartName="/xl/customProperty30.bin" ContentType="application/vnd.openxmlformats-officedocument.spreadsheetml.customProperty"/>
  <Override PartName="/xl/drawings/drawing1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ustomProperty31.bin" ContentType="application/vnd.openxmlformats-officedocument.spreadsheetml.customProperty"/>
  <Override PartName="/xl/drawings/drawing12.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showInkAnnotation="0" updateLinks="never" codeName="ThisWorkbook" hidePivotFieldList="1" autoCompressPictures="0"/>
  <mc:AlternateContent xmlns:mc="http://schemas.openxmlformats.org/markup-compatibility/2006">
    <mc:Choice Requires="x15">
      <x15ac:absPath xmlns:x15ac="http://schemas.microsoft.com/office/spreadsheetml/2010/11/ac" url="https://mmreis-my.sharepoint.com/personal/filip_niculete_marcusmillichap_com/Documents/LAAA Team/Proposals/Glen's Proposals/2026/420-428 W Stocker St, Glendale/Docs for Cursor/"/>
    </mc:Choice>
  </mc:AlternateContent>
  <xr:revisionPtr revIDLastSave="474" documentId="13_ncr:1_{12E1462E-FCC5-400F-B751-69934FBF44EF}" xr6:coauthVersionLast="47" xr6:coauthVersionMax="47" xr10:uidLastSave="{0A136E86-195D-41FB-9A9B-1D1AA6C985E5}"/>
  <bookViews>
    <workbookView xWindow="-120" yWindow="-120" windowWidth="29040" windowHeight="15720" tabRatio="922" firstSheet="9" activeTab="11" xr2:uid="{00000000-000D-0000-FFFF-FFFF00000000}"/>
  </bookViews>
  <sheets>
    <sheet name="Data (Old)" sheetId="36" state="veryHidden" r:id="rId1"/>
    <sheet name="DDL" sheetId="38" state="veryHidden" r:id="rId2"/>
    <sheet name="Defaults" sheetId="60" state="veryHidden" r:id="rId3"/>
    <sheet name="BOB - Summary" sheetId="61" state="veryHidden" r:id="rId4"/>
    <sheet name="BOB - Detail" sheetId="63" state="veryHidden" r:id="rId5"/>
    <sheet name="RRSample" sheetId="57" state="veryHidden" r:id="rId6"/>
    <sheet name="Data" sheetId="62" state="hidden" r:id="rId7"/>
    <sheet name="InDesign" sheetId="64" state="hidden" r:id="rId8"/>
    <sheet name="Import" sheetId="69" state="hidden" r:id="rId9"/>
    <sheet name="Rent Roll Detail" sheetId="55" r:id="rId10"/>
    <sheet name="Rent Roll Summary" sheetId="33" r:id="rId11"/>
    <sheet name="Operating Statement" sheetId="26" r:id="rId12"/>
    <sheet name="Notes" sheetId="27" r:id="rId13"/>
    <sheet name="Pricing Detail" sheetId="25" r:id="rId14"/>
    <sheet name="Introduction" sheetId="59" r:id="rId15"/>
    <sheet name="Input" sheetId="1" r:id="rId16"/>
    <sheet name="DocSheet" sheetId="58" state="veryHidden" r:id="rId17"/>
    <sheet name="Rent Roll Detail Input" sheetId="54" r:id="rId18"/>
    <sheet name="Sheet1" sheetId="70" r:id="rId19"/>
    <sheet name="Debt" sheetId="50" r:id="rId20"/>
    <sheet name="Rent Roll Summary Input" sheetId="31" state="veryHidden" r:id="rId21"/>
    <sheet name="Rent Roll Summary Summary" sheetId="66" state="hidden" r:id="rId22"/>
    <sheet name="Rent Roll Detail Summary" sheetId="65" state="hidden" r:id="rId23"/>
    <sheet name="Chart Data" sheetId="67" state="hidden" r:id="rId24"/>
    <sheet name="Pricing Detail (UP)" sheetId="51" state="veryHidden" r:id="rId25"/>
    <sheet name="Growth Rates" sheetId="29" state="veryHidden" r:id="rId26"/>
    <sheet name="Cash Flow" sheetId="28" state="veryHidden" r:id="rId27"/>
    <sheet name="Proposal Price" sheetId="37" r:id="rId28"/>
    <sheet name="Proposal Price IRR Unlevered" sheetId="56" state="veryHidden" r:id="rId29"/>
    <sheet name="Proposal Price IRR" sheetId="30" state="veryHidden" r:id="rId30"/>
    <sheet name="Equity Returns Options" sheetId="49" r:id="rId31"/>
    <sheet name="Equity Returns Chart" sheetId="48" r:id="rId32"/>
    <sheet name="Comps Charts" sheetId="68" state="hidden" r:id="rId33"/>
  </sheets>
  <externalReferences>
    <externalReference r:id="rId34"/>
    <externalReference r:id="rId35"/>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4</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Fil1" localSheetId="4" hidden="1">#REF!</definedName>
    <definedName name="_Fil1" localSheetId="7" hidden="1">#REF!</definedName>
    <definedName name="_Fil1" hidden="1">#REF!</definedName>
    <definedName name="_Fill" localSheetId="4" hidden="1">#REF!</definedName>
    <definedName name="_Fill" localSheetId="7" hidden="1">#REF!</definedName>
    <definedName name="_Fill" hidden="1">#REF!</definedName>
    <definedName name="_xlnm._FilterDatabase" localSheetId="32" hidden="1">'[1]Rent Roll Analysis'!$A$8:$AC$251</definedName>
    <definedName name="_xlnm._FilterDatabase" localSheetId="16" hidden="1">DocSheet!$A$1:$G$336</definedName>
    <definedName name="_xlnm._FilterDatabase" localSheetId="17" hidden="1">'Rent Roll Detail Input'!$F$11:$P$71</definedName>
    <definedName name="_xlnm._FilterDatabase" localSheetId="20" hidden="1">'Rent Roll Summary Input'!$A$5:$P$13</definedName>
    <definedName name="_xlnm._FilterDatabase" hidden="1">'[1]Rent Roll Analysis'!$A$8:$AC$251</definedName>
    <definedName name="_Key1" localSheetId="4" hidden="1">#REF!</definedName>
    <definedName name="_Key1" localSheetId="32" hidden="1">#REF!</definedName>
    <definedName name="_Key1" localSheetId="7" hidden="1">#REF!</definedName>
    <definedName name="_Key1" hidden="1">#REF!</definedName>
    <definedName name="_Key2" localSheetId="4" hidden="1">#REF!</definedName>
    <definedName name="_Key2" localSheetId="32" hidden="1">#REF!</definedName>
    <definedName name="_Key2" localSheetId="7" hidden="1">#REF!</definedName>
    <definedName name="_Key2" hidden="1">#REF!</definedName>
    <definedName name="_Key5" localSheetId="4" hidden="1">#REF!</definedName>
    <definedName name="_Key5" localSheetId="32" hidden="1">#REF!</definedName>
    <definedName name="_Key5" localSheetId="7" hidden="1">#REF!</definedName>
    <definedName name="_Key5" hidden="1">#REF!</definedName>
    <definedName name="_Key6" localSheetId="4" hidden="1">#REF!</definedName>
    <definedName name="_Key6" localSheetId="7" hidden="1">#REF!</definedName>
    <definedName name="_Key6" hidden="1">#REF!</definedName>
    <definedName name="_Key8" localSheetId="4" hidden="1">#REF!</definedName>
    <definedName name="_Key8" localSheetId="7" hidden="1">#REF!</definedName>
    <definedName name="_Key8" hidden="1">#REF!</definedName>
    <definedName name="_Key9" localSheetId="4" hidden="1">#REF!</definedName>
    <definedName name="_Key9" localSheetId="7" hidden="1">#REF!</definedName>
    <definedName name="_Key9" hidden="1">#REF!</definedName>
    <definedName name="_Order1" hidden="1">255</definedName>
    <definedName name="_Order2" hidden="1">255</definedName>
    <definedName name="_Sort" localSheetId="4" hidden="1">#REF!</definedName>
    <definedName name="_Sort" localSheetId="32" hidden="1">#REF!</definedName>
    <definedName name="_Sort" localSheetId="7" hidden="1">#REF!</definedName>
    <definedName name="_Sort" hidden="1">#REF!</definedName>
    <definedName name="acquisition_cost">Import!$C$50</definedName>
    <definedName name="ActivityIDCell" localSheetId="6">Data!#REF!</definedName>
    <definedName name="adr">Import!$C$51</definedName>
    <definedName name="adr_pro_forma">Import!$C$52</definedName>
    <definedName name="AF_Amort_P_Adj">AF_Amort_Periods - AF_Interest_Only</definedName>
    <definedName name="AF_Amort_Periods">AF_Amort*12</definedName>
    <definedName name="AF_Annual_Debt_Service">AF_Loan_Payment*12</definedName>
    <definedName name="AF_CUMPRINC">IFERROR(CUMPRINC(AF_I_Adj,AF_Amort_P_Adj, AF_Orig_Loan_Amount,1, AF_Int_Only_Period,0),0)</definedName>
    <definedName name="AF_FV">FV(AF_I_Adj, AF_Orig_Term*12, AF_PMT, AF_Orig_Loan_Amount)</definedName>
    <definedName name="AF_I_Adj">(AF_Interest_Rate/AF_Rate_Compounding_Switch + 1) ^ (AF_Rate_Compounding_Switch/12)-1</definedName>
    <definedName name="AF_Int_Only_Period">AF_Rate_Period_Switch-(AF_Interest_Only/12 )*AF_Rate_Compounding_Switch</definedName>
    <definedName name="AF_IPMT">IPMT(AF_I_Adj,1,AF_Amort_P_Adj, AF_Orig_Loan_Amount,0)</definedName>
    <definedName name="AF_Loan_Constant">-AF_Loan_Payment/AF_Orig_Loan_Amount*12</definedName>
    <definedName name="AF_Loan_Due_Date">EDATE(AF_Origination_Date, AF_Orig_Term*12-1)</definedName>
    <definedName name="AF_Loan_Payment">IF(AF_Int_Only_Period&lt;0, AF_IPMT,AF_PMT)</definedName>
    <definedName name="AF_LTV">_xlfn.SWITCH(AF_Down_Payment_Switch, "Down Payment ($)", (sale_price-AF_Down_Payment)/sale_price, "Down Payment (%)", (sale_price - (sale_price*(AF_Down_Payment/100))) / sale_price)</definedName>
    <definedName name="AF_Orig_Loan_Amount">AF_LTV * sale_price</definedName>
    <definedName name="AF_Origination_Date">Date_of_Analysis</definedName>
    <definedName name="AF_PMT">PMT(AF_I_Adj, AF_Amort_P_Adj, AF_Orig_Loan_Amount)</definedName>
    <definedName name="AF_PPMT">PPMT(AF_I_Adj,1, AF_Amort_P_Adj, AF_Orig_Loan_Amount,0)</definedName>
    <definedName name="AF_Rate_Compounding_Switch">_xlfn.SWITCH(AF_Compounding_Switch, "Monthly", 12, "Semi-Annually", 2)</definedName>
    <definedName name="AF_Rate_Period_Switch">ROUNDUP(YEARFRAC(Date_of_Analysis,Date_of_Analysis)*AF_Rate_Compounding_Switch,0)</definedName>
    <definedName name="AF_Time_Remaining">ROUNDUP(YEARFRAC(AF_Origination_Date, AF_Loan_Due_Date)*12,0)+1</definedName>
    <definedName name="Amort_Periods">_xlfn.SWITCH(AF_Type, "Financed - New Loan", AF_Amort, "Financed - Assumed Loan", SED_Amort, "All Cash")</definedName>
    <definedName name="AmortizationCell" localSheetId="6">Data!#REF!</definedName>
    <definedName name="AverageUnitRentTable">Data!$D$108:$F$115</definedName>
    <definedName name="BadLink" localSheetId="4" hidden="1">#REF!</definedName>
    <definedName name="BadLink" localSheetId="32" hidden="1">#REF!</definedName>
    <definedName name="BadLink" localSheetId="7" hidden="1">#REF!</definedName>
    <definedName name="BadLink" hidden="1">#REF!</definedName>
    <definedName name="buildable_sq_ft">Import!$C$36</definedName>
    <definedName name="buildable_units">Import!$C$37</definedName>
    <definedName name="cap_over_lease">Import!$C$59</definedName>
    <definedName name="cap_rate">Import!$C$2</definedName>
    <definedName name="cap_rate_pro_forma">Import!$C$3</definedName>
    <definedName name="Cap1Cell">Data!$D$44</definedName>
    <definedName name="Cap2Cell">Data!$D$45</definedName>
    <definedName name="cash_on_cash">Import!$C$14</definedName>
    <definedName name="cash_on_cash_pro_forma">Import!$C$15</definedName>
    <definedName name="cash_on_cash_pro_forma\">Import!$C$15</definedName>
    <definedName name="CashFlowScenariosChart">'Equity Returns Chart'!$C$22:$O$39</definedName>
    <definedName name="CashFlowStart">'Cash Flow'!$E$3</definedName>
    <definedName name="CashFlowTable">'Cash Flow'!$E$3:$P$46</definedName>
    <definedName name="ChartList">OFFSET('Chart Data'!$A$2,,,COUNTIF('Chart Data'!$A$2:$A$6,"&lt;&gt;"))</definedName>
    <definedName name="ChartRentMonth">OFFSET('Chart Data'!$C$2,,,COUNTIF('Chart Data'!$A$2:$A$6,"&lt;&gt;"))</definedName>
    <definedName name="ChartRentSF">OFFSET('Chart Data'!$D$2,,,COUNTIF('Chart Data'!$A$2:$A$6,"&lt;&gt;"))</definedName>
    <definedName name="ChartUnits">OFFSET('Chart Data'!$B$2,,,COUNTIF('Chart Data'!$A$2:$A$6,"&lt;&gt;"))</definedName>
    <definedName name="CurrentVacancyCell" localSheetId="6">Data!#REF!</definedName>
    <definedName name="DateOfAnalysis">Input!$B$11</definedName>
    <definedName name="ddl_EROStart">DDL!$A$41</definedName>
    <definedName name="ddl_HExist">DDL!$B$61</definedName>
    <definedName name="ddl_OpColumns">OFFSET(DDL!$K$3,5-DDL!$K$2,0,DDL!$K$2,1)</definedName>
    <definedName name="ddl_RExist">DDL!$B$62</definedName>
    <definedName name="ddl_SEExist">DDL!$B$60</definedName>
    <definedName name="ddl_SExist">DDL!$B$63</definedName>
    <definedName name="DDL_UnitLookup">DDL!$A$25:$B$32</definedName>
    <definedName name="debt_service">Import!$C$4</definedName>
    <definedName name="debt_service_pro_forma">Import!$C$5</definedName>
    <definedName name="del" localSheetId="4" hidden="1">{"Page1",#N/A,FALSE,"7979";"Page2",#N/A,FALSE,"7979";"Page3",#N/A,FALSE,"7979"}</definedName>
    <definedName name="del" localSheetId="3" hidden="1">{"Page1",#N/A,FALSE,"7979";"Page2",#N/A,FALSE,"7979";"Page3",#N/A,FALSE,"7979"}</definedName>
    <definedName name="del" localSheetId="26" hidden="1">{"Page1",#N/A,FALSE,"7979";"Page2",#N/A,FALSE,"7979";"Page3",#N/A,FALSE,"7979"}</definedName>
    <definedName name="del" localSheetId="32" hidden="1">{"Page1",#N/A,FALSE,"7979";"Page2",#N/A,FALSE,"7979";"Page3",#N/A,FALSE,"7979"}</definedName>
    <definedName name="del" localSheetId="6" hidden="1">{"Page1",#N/A,FALSE,"7979";"Page2",#N/A,FALSE,"7979";"Page3",#N/A,FALSE,"7979"}</definedName>
    <definedName name="del" localSheetId="2" hidden="1">{"Page1",#N/A,FALSE,"7979";"Page2",#N/A,FALSE,"7979";"Page3",#N/A,FALSE,"7979"}</definedName>
    <definedName name="del" localSheetId="25" hidden="1">{"Page1",#N/A,FALSE,"7979";"Page2",#N/A,FALSE,"7979";"Page3",#N/A,FALSE,"7979"}</definedName>
    <definedName name="del" localSheetId="7" hidden="1">{"Page1",#N/A,FALSE,"7979";"Page2",#N/A,FALSE,"7979";"Page3",#N/A,FALSE,"7979"}</definedName>
    <definedName name="del" localSheetId="15" hidden="1">{"Page1",#N/A,FALSE,"7979";"Page2",#N/A,FALSE,"7979";"Page3",#N/A,FALSE,"7979"}</definedName>
    <definedName name="del" localSheetId="12" hidden="1">{"Page1",#N/A,FALSE,"7979";"Page2",#N/A,FALSE,"7979";"Page3",#N/A,FALSE,"7979"}</definedName>
    <definedName name="del" localSheetId="11" hidden="1">{"Page1",#N/A,FALSE,"7979";"Page2",#N/A,FALSE,"7979";"Page3",#N/A,FALSE,"7979"}</definedName>
    <definedName name="del" localSheetId="13" hidden="1">{"Page1",#N/A,FALSE,"7979";"Page2",#N/A,FALSE,"7979";"Page3",#N/A,FALSE,"7979"}</definedName>
    <definedName name="del" localSheetId="24" hidden="1">{"Page1",#N/A,FALSE,"7979";"Page2",#N/A,FALSE,"7979";"Page3",#N/A,FALSE,"7979"}</definedName>
    <definedName name="del" localSheetId="27" hidden="1">{"Page1",#N/A,FALSE,"7979";"Page2",#N/A,FALSE,"7979";"Page3",#N/A,FALSE,"7979"}</definedName>
    <definedName name="del" localSheetId="29" hidden="1">{"Page1",#N/A,FALSE,"7979";"Page2",#N/A,FALSE,"7979";"Page3",#N/A,FALSE,"7979"}</definedName>
    <definedName name="del" localSheetId="28" hidden="1">{"Page1",#N/A,FALSE,"7979";"Page2",#N/A,FALSE,"7979";"Page3",#N/A,FALSE,"7979"}</definedName>
    <definedName name="del" localSheetId="9" hidden="1">{"Page1",#N/A,FALSE,"7979";"Page2",#N/A,FALSE,"7979";"Page3",#N/A,FALSE,"7979"}</definedName>
    <definedName name="del" localSheetId="10" hidden="1">{"Page1",#N/A,FALSE,"7979";"Page2",#N/A,FALSE,"7979";"Page3",#N/A,FALSE,"7979"}</definedName>
    <definedName name="del" localSheetId="20" hidden="1">{"Page1",#N/A,FALSE,"7979";"Page2",#N/A,FALSE,"7979";"Page3",#N/A,FALSE,"7979"}</definedName>
    <definedName name="del" hidden="1">{"Page1",#N/A,FALSE,"7979";"Page2",#N/A,FALSE,"7979";"Page3",#N/A,FALSE,"7979"}</definedName>
    <definedName name="density">Import!$C$38</definedName>
    <definedName name="development_type">Import!$C$35</definedName>
    <definedName name="down_payment">Import!$C$6</definedName>
    <definedName name="DownCell">Data!$D$3</definedName>
    <definedName name="DownPctCell">Data!$D$4</definedName>
    <definedName name="EquityReturnOptionsTable">'Equity Returns Options'!$B$12:$I$34</definedName>
    <definedName name="ERO_DataStart">'Equity Returns Options'!$B$49</definedName>
    <definedName name="ERO_H">'Equity Returns Options'!$F$7</definedName>
    <definedName name="ERO_Headings">'Equity Returns Options'!$B$12:$N$12</definedName>
    <definedName name="ERO_Off1">'Equity Returns Options'!$C$41</definedName>
    <definedName name="ERO_Off2">'Equity Returns Options'!$C$42</definedName>
    <definedName name="ERO_Off3">'Equity Returns Options'!$C$43</definedName>
    <definedName name="ERO_Off4">'Equity Returns Options'!$C$44</definedName>
    <definedName name="ERO_R">'Equity Returns Options'!$F$8</definedName>
    <definedName name="ERO_S">'Equity Returns Options'!$F$9</definedName>
    <definedName name="ERO_SaleStart">'Equity Returns Options'!$B$5</definedName>
    <definedName name="ERO_SE">'Equity Returns Options'!$F$6</definedName>
    <definedName name="ERO_Start">'Equity Returns Options'!$B$11</definedName>
    <definedName name="ERO_TotalOps">'Equity Returns Options'!$N$47</definedName>
    <definedName name="ExistingAmortization">Data!$D$26</definedName>
    <definedName name="ExistingDueDate">Data!$D$28</definedName>
    <definedName name="ExistingInterestRate">Data!$D$25</definedName>
    <definedName name="ExistingLenderName">Data!$D$30</definedName>
    <definedName name="ExistingLoanAmount">Data!$D$23</definedName>
    <definedName name="ExistingLoanType">Data!$D$24</definedName>
    <definedName name="ExistingMonthlyPayment">Data!$D$29</definedName>
    <definedName name="ExistingPrepaymentPenalty">Data!$D$31</definedName>
    <definedName name="ExistingTerm">Data!$D$27</definedName>
    <definedName name="exp_reimbursement">Import!$C$28</definedName>
    <definedName name="exp_reimbursement_pro_forma">Import!$C$29</definedName>
    <definedName name="expcomp">"Option Button 21"</definedName>
    <definedName name="ExpensesDataTable">Data!$D$87:$F$105</definedName>
    <definedName name="expinet">"Option Button 20"</definedName>
    <definedName name="exptenant">"exptenant"</definedName>
    <definedName name="FirstRentShownCell">'Rent Roll Summary'!$F$11</definedName>
    <definedName name="floor_area_ratio">Import!$C$39</definedName>
    <definedName name="franchise_fee">Import!$C$55</definedName>
    <definedName name="GR_EVBadDebt">'Growth Rates'!$E$10</definedName>
    <definedName name="GR_EVConcession">'Growth Rates'!$E$11</definedName>
    <definedName name="GR_EVNonRev">'Growth Rates'!$E$9</definedName>
    <definedName name="GR_Insurance">'Growth Rates'!$E$18</definedName>
    <definedName name="GR_OpExp">'Growth Rates'!$E$16</definedName>
    <definedName name="GR_OtherIncome">'Growth Rates'!$E$13</definedName>
    <definedName name="GR_PV">'Growth Rates'!$E$7</definedName>
    <definedName name="GR_RE">'Growth Rates'!$E$17</definedName>
    <definedName name="GR_Utilities">'Growth Rates'!$E$19</definedName>
    <definedName name="GRM1Cell">Data!$D$46</definedName>
    <definedName name="GRM2Cell">Data!$D$47</definedName>
    <definedName name="gross_scheduled_income">Import!$C$19</definedName>
    <definedName name="gross_scheduled_income_pro_forma">Import!$C$20</definedName>
    <definedName name="GrowthRateProjectionsTable">'Growth Rates'!$C$3:$M$22</definedName>
    <definedName name="guarantor">Import!$C$44</definedName>
    <definedName name="home_inventory_cost">Import!$C$40</definedName>
    <definedName name="home_rent">Import!$C$41</definedName>
    <definedName name="home_rent_pro_forma">Import!$C$42</definedName>
    <definedName name="IncludeNotesPageCell" localSheetId="6">Data!#REF!</definedName>
    <definedName name="IncomeDataTable">Data!$D$71:$H$85</definedName>
    <definedName name="InD_CashFlowTable">'Cash Flow'!$E$3:$P$46</definedName>
    <definedName name="InD_DebtCashTable">Debt!$B$29:$L$46</definedName>
    <definedName name="InD_DebtFinTable">Debt!$B$7:$E$24</definedName>
    <definedName name="InD_EquityOptionsTable">'Equity Returns Options'!$B$12:$I$32</definedName>
    <definedName name="InD_GrowthTable">'Growth Rates'!$C$3:$M$20</definedName>
    <definedName name="InD_InputCapEx">Input!$D$36:$N$37</definedName>
    <definedName name="InD_InputTable">Input!$A$7:$B$55</definedName>
    <definedName name="InD_NotesTable">Notes!$C$3:$D$30</definedName>
    <definedName name="InD_OpStateTable">'Operating Statement'!$E$4:$V$41</definedName>
    <definedName name="InD_PricingDetailOperating">'Pricing Detail'!$L$6:$P$36</definedName>
    <definedName name="InD_PricingDetailSummary">'Pricing Detail'!$E$3:$J$39</definedName>
    <definedName name="InD_ProposalPriceMarket">'Proposal Price'!$D$21:$H$28</definedName>
    <definedName name="InD_ProposalPriceProperty">'Proposal Price'!$D$33:$L$35</definedName>
    <definedName name="InD_ProposalPriceSum">'Proposal Price'!$F$3:$K$16</definedName>
    <definedName name="InD_RentRollDetailTable">'Rent Roll Detail'!$B$5:$J$35</definedName>
    <definedName name="InD_RentRollSumTable">'Rent Roll Summary'!$B$8:$N$39</definedName>
    <definedName name="Input_DataTable">Input!$Q$25:$AB$35</definedName>
    <definedName name="InputEAmort">Input!$B$48</definedName>
    <definedName name="InputEInterest">Input!$B$47</definedName>
    <definedName name="InputELender">Input!$B$52</definedName>
    <definedName name="InputELoanBal">Input!$B$45</definedName>
    <definedName name="InputEOrigDate">Input!$B$46</definedName>
    <definedName name="InputEOrigLoanAmt">Input!$B$44</definedName>
    <definedName name="InputEPMT">Input!$B$51</definedName>
    <definedName name="InputETerm">Input!$B$49</definedName>
    <definedName name="Interest_Rate">_xlfn.SWITCH(AF_Type, "Financed - New Loan", AF_Interest_Rate, "Financed - Assumed Loan", SED_Interest_Rate, "")</definedName>
    <definedName name="InterestRateCell" localSheetId="6">Data!#REF!</definedName>
    <definedName name="lease_end">Import!$C$45</definedName>
    <definedName name="lease_term">Import!$C$46</definedName>
    <definedName name="lease_type">Import!$C$47</definedName>
    <definedName name="leasing_commissions">Import!$C$30</definedName>
    <definedName name="leasing_commissions_pro_forma">Import!$C$31</definedName>
    <definedName name="Loan_Constant">_xlfn.SWITCH(AF_Type, "Financed - New Loan", AF_Loan_Constant, "Financed - Assumed Loan", SED_Loan_Constant, "All Cash")</definedName>
    <definedName name="loan_type">Import!$C$18</definedName>
    <definedName name="Loan1">Debt!$C$52:$H$412</definedName>
    <definedName name="Loan2">Debt!$L$52:$Q$412</definedName>
    <definedName name="Loan3">Debt!$U$52:$Z$412</definedName>
    <definedName name="LoanAmountCell" localSheetId="6">Data!#REF!</definedName>
    <definedName name="LotSizeCell">Data!$D$41</definedName>
    <definedName name="LTV">_xlfn.SWITCH(AF_Type, "Financed - New Loan", AF_LTV, "Financed - Assumed Loan", SED_LTV, "")</definedName>
    <definedName name="ModeledAmortizationPeriod">Data!$D$9</definedName>
    <definedName name="ModeledAmortizationPeriod2">Data!$D$18</definedName>
    <definedName name="ModeledAnnualDebtServicePayment">Data!$D$12</definedName>
    <definedName name="ModeledAnnualDebtServicePayment2">Data!$D$21</definedName>
    <definedName name="ModeledDebtServiceRatio">Data!$D$13</definedName>
    <definedName name="ModeledDebtServiceRatio2" localSheetId="4">Data!#REF!</definedName>
    <definedName name="ModeledInterestRate">Data!$D$8</definedName>
    <definedName name="ModeledInterestRate2">Data!$D$17</definedName>
    <definedName name="ModeledLoanAmount">Data!$D$6</definedName>
    <definedName name="ModeledLoanAmount2">Data!$D$15</definedName>
    <definedName name="ModeledLoanToPurchaseRatio">Data!$D$11</definedName>
    <definedName name="ModeledLoanToPurchaseRatio2">Data!$D$20</definedName>
    <definedName name="ModeledProposedExisting">Data!$D$7</definedName>
    <definedName name="ModeledProposedExisting2">Data!$D$16</definedName>
    <definedName name="ModeledTerm">Data!$D$10</definedName>
    <definedName name="ModeledTerm2">Data!$D$19</definedName>
    <definedName name="NCFADS1Cell">Data!$D$51</definedName>
    <definedName name="NCFADS1PctCell">Data!$D$53</definedName>
    <definedName name="NCFADS2Cell">Data!$D$52</definedName>
    <definedName name="NCFADS2PctCell">Data!$D$54</definedName>
    <definedName name="net_operating_income">Import!$C$7</definedName>
    <definedName name="net_operating_income_pro_forma">Import!$C$8</definedName>
    <definedName name="NOI2Cell">Data!$D$50</definedName>
    <definedName name="NOICell">Data!$D$48</definedName>
    <definedName name="NOIPerSFCell">Data!$D$49</definedName>
    <definedName name="NotesTable">Notes!$C$3:$D$30</definedName>
    <definedName name="number_of_lots">Import!$C$34</definedName>
    <definedName name="NumberBuildingsCell" localSheetId="4">Data!#REF!</definedName>
    <definedName name="NumberOfUnits">IFERROR(OFFSET('Pricing Detail'!$E$30,0,0,COUNTIF('Pricing Detail'!$E$30:$E$34,"&gt;0"),1),0)</definedName>
    <definedName name="NumberStoriesCell" localSheetId="4">Data!#REF!</definedName>
    <definedName name="occupancy">(Input!$B$19/Input!$B$18)*100</definedName>
    <definedName name="OccupancyPct">Data!$D$38</definedName>
    <definedName name="OccupancyPctYear1">Data!$D$39</definedName>
    <definedName name="ODLabel1Cell">Data!$D$42</definedName>
    <definedName name="ODLabel2Cell">Data!$D$43</definedName>
    <definedName name="operating_expenses">Import!$C$9</definedName>
    <definedName name="operating_expenses_pro_forma">Import!$C$10</definedName>
    <definedName name="OperatingStatementTable">'Operating Statement'!$E$4:$V$42</definedName>
    <definedName name="Opt_Count">COUNTA([2]Input!$E$20:$E$25)</definedName>
    <definedName name="OS_Curr">'Operating Statement'!$O$4</definedName>
    <definedName name="OS_Reno">'Operating Statement'!$S$4</definedName>
    <definedName name="OS_TaxRate">'Operating Statement'!$AA$4</definedName>
    <definedName name="OS_VAllow">'Operating Statement'!$AA$6</definedName>
    <definedName name="OS_YrsHist">'Operating Statement'!$AA$2</definedName>
    <definedName name="other_income">Import!$C$21</definedName>
    <definedName name="other_income_pro_forma">Import!$C$22</definedName>
    <definedName name="OwnershipTypeCell">Data!$D$35</definedName>
    <definedName name="PD_Reno">'Pricing Detail'!$Q$6</definedName>
    <definedName name="pip">Import!$C$56</definedName>
    <definedName name="PP_DispIncr">'Proposal Price'!$O$4</definedName>
    <definedName name="PP_Increments">'Proposal Price'!$O$3</definedName>
    <definedName name="PPIRR_DispIncr">'Proposal Price IRR'!$Q$4</definedName>
    <definedName name="PPIRR_Increments">'Proposal Price IRR'!$Q$3</definedName>
    <definedName name="PPIRRU_DispIncr">'Proposal Price IRR Unlevered'!$P$4</definedName>
    <definedName name="PPIRRU_Increments">'Proposal Price IRR Unlevered'!$P$3</definedName>
    <definedName name="Price">Input!$B$9</definedName>
    <definedName name="Price_SF">IFERROR(ROUND(sale_price/Gross_Leasable_Area,2),0)</definedName>
    <definedName name="PriceCell">Data!$D$2</definedName>
    <definedName name="Priced">Input!$B$10</definedName>
    <definedName name="PricePerSFCell">Data!$D$34</definedName>
    <definedName name="PricePerUnitCell">Data!$D$33</definedName>
    <definedName name="PricingDetailsTable">'Pricing Detail'!$E$3:$P$39</definedName>
    <definedName name="PrimaryLoan">Debt!$E$7</definedName>
    <definedName name="principal_reduction_pro_forma">Import!$C$12</definedName>
    <definedName name="principal_reduction_yr_1">Import!$C$11</definedName>
    <definedName name="_xlnm.Print_Area" localSheetId="26">'Cash Flow'!$E$3:$P$46</definedName>
    <definedName name="_xlnm.Print_Area" localSheetId="32">'Comps Charts'!$G$4:$Z$38</definedName>
    <definedName name="_xlnm.Print_Area" localSheetId="19">Debt!$A$5:$M$46</definedName>
    <definedName name="_xlnm.Print_Area" localSheetId="31">'Equity Returns Chart'!$C$5:$L$27</definedName>
    <definedName name="_xlnm.Print_Area" localSheetId="30">'Equity Returns Options'!$B$12:$I$34</definedName>
    <definedName name="_xlnm.Print_Area" localSheetId="25">'Growth Rates'!$C$3:$M$22</definedName>
    <definedName name="_xlnm.Print_Area" localSheetId="15">Input!$A$1:$B$56</definedName>
    <definedName name="_xlnm.Print_Area" localSheetId="14">Introduction!$A$1:$E$25</definedName>
    <definedName name="_xlnm.Print_Area" localSheetId="12">Notes!$C$3:$D$30</definedName>
    <definedName name="_xlnm.Print_Area" localSheetId="11">'Operating Statement'!$E$4:$V$42</definedName>
    <definedName name="_xlnm.Print_Area" localSheetId="13">'Pricing Detail'!$E$3:$P$39</definedName>
    <definedName name="_xlnm.Print_Area" localSheetId="24">'Pricing Detail (UP)'!$E$1:$O$47</definedName>
    <definedName name="_xlnm.Print_Area" localSheetId="27">'Proposal Price'!$D$3:$L$35</definedName>
    <definedName name="_xlnm.Print_Area" localSheetId="29">'Proposal Price IRR'!$D$3:$N$35</definedName>
    <definedName name="_xlnm.Print_Area" localSheetId="28">'Proposal Price IRR Unlevered'!$D$3:$M$32</definedName>
    <definedName name="_xlnm.Print_Area" localSheetId="9">'Rent Roll Detail'!$B$3:$J$35</definedName>
    <definedName name="_xlnm.Print_Area" localSheetId="17">'Rent Roll Detail Input'!$A$1:$O$73</definedName>
    <definedName name="_xlnm.Print_Area" localSheetId="10">'Rent Roll Summary'!$B$8:$N$55</definedName>
    <definedName name="_xlnm.Print_Area" localSheetId="20">'Rent Roll Summary Input'!$C$4:$H$46</definedName>
    <definedName name="ProposalPriceIRRTable">'Proposal Price'!$D$3:$L$35</definedName>
    <definedName name="ProposalPriceTable">'Proposal Price'!$D$3:$L$35</definedName>
    <definedName name="PropPriceLoan">'Proposal Price'!$D$20</definedName>
    <definedName name="Renew_Opt_1">IF(Renewal_Opt_1 = "","", Renewal_Opt_1 &amp;CHAR(10))</definedName>
    <definedName name="Renew_Opt_2">IF(Renewal_Opt_1 = "","", Renewal_Opt_2 &amp;CHAR(10))</definedName>
    <definedName name="Renew_Opt_3">IF(Renewal_Opt_1 = "","", Renewal_Opt_3 &amp;CHAR(10))</definedName>
    <definedName name="Renew_Opt_4">IF(Renewal_Opt_1 = "","", Renewal_Opt_4 &amp;CHAR(10))</definedName>
    <definedName name="Renew_Opt_5">IF(Renewal_Opt_1 = "","", Renewal_Opt_5 &amp;CHAR(10))</definedName>
    <definedName name="Renew_Opt_6">IF(Renewal_Opt_1 = "","", Renewal_Opt_6 &amp;CHAR(10))</definedName>
    <definedName name="RenoSwitch">'Rent Roll Detail Input'!$I$8</definedName>
    <definedName name="Rent_Roll_Detail_Print">OFFSET(RRD_Start,0,0,COUNTA('Rent Roll Detail'!A:A)-16,COUNTA('Rent Roll Detail'!5:5))</definedName>
    <definedName name="Rent_Roll_Detail_Start_Print">'Rent Roll Detail'!$B$3</definedName>
    <definedName name="RENT_SF">IFERROR(Annual_Rent/Gross_Leasable_Area,"")</definedName>
    <definedName name="RentDetail_CurrentRent_Month">OFFSET('Rent Roll Detail Summary'!$H$31,,,COUNTIF('Rent Roll Detail Summary'!$B$31:$B$35,"&lt;&gt;"))</definedName>
    <definedName name="RentDetail_CurrentRent_SF">OFFSET('Rent Roll Detail Summary'!$K$31,,,COUNTIF('Rent Roll Detail Summary'!$B$31:$B$35,"&lt;&gt;"))</definedName>
    <definedName name="RentDetail_PotentialRent_Month">OFFSET('Rent Roll Detail Summary'!$J$31,,,COUNTIF('Rent Roll Detail Summary'!$B$31:$B$35,"&lt;&gt;"))</definedName>
    <definedName name="RentDetail_PotentialRent_SF">OFFSET('Rent Roll Detail Summary'!$M$31,,,COUNTIF('Rent Roll Detail Summary'!$B$31:$B$35,"&lt;&gt;"))</definedName>
    <definedName name="RentDetail_ScheduledRent_Month">OFFSET('Rent Roll Detail Summary'!$I$31,,,COUNTIF('Rent Roll Detail Summary'!$B$31:$B$35,"&lt;&gt;"))</definedName>
    <definedName name="RentDetail_ScheduledRent_SF">OFFSET('Rent Roll Detail Summary'!$L$31,,,COUNTIF('Rent Roll Detail Summary'!$B$31:$B$35,"&lt;&gt;"))</definedName>
    <definedName name="RentDetail_Units">OFFSET('Rent Roll Detail Summary'!$C$31,,,COUNTIF('Rent Roll Detail Summary'!$B$31:$B$35,"&lt;&gt;"))</definedName>
    <definedName name="RentDetailList">OFFSET('Rent Roll Detail Summary'!$B$31,,,COUNTIF('Rent Roll Detail Summary'!$B$31:$B$35,"&lt;&gt;"))</definedName>
    <definedName name="RentMult">'Pricing Detail'!$V$3</definedName>
    <definedName name="RentPerMonthChart">IFERROR(OFFSET('Pricing Detail'!$I$30,0,0,COUNTIF('Pricing Detail'!$I$29:$I$34,"&gt;0"),1),0)</definedName>
    <definedName name="RentPerSqft">IFERROR(OFFSET('Data (Old)'!$E$19,0,0,COUNTIF('Data (Old)'!$E$19:$E$23,"&gt;0"),1),0)</definedName>
    <definedName name="RentRollDetailTable">'Rent Roll Detail'!$B$3:$L$35</definedName>
    <definedName name="RentRollPgBreak">Data!$D$106</definedName>
    <definedName name="RentRollSummaryTable">'Rent Roll Summary'!$B$7:$P$39</definedName>
    <definedName name="RentsShown">'Rent Roll Summary'!$C$5</definedName>
    <definedName name="RentsShownD">'Rent Roll Detail'!$G$2</definedName>
    <definedName name="RentSummary_CurrentRent_Month">OFFSET('Rent Roll Summary Summary'!$H$2,,,COUNTIF('Rent Roll Summary Summary'!$B$2:$B$6,"&lt;&gt;"))</definedName>
    <definedName name="RentSummary_CurrentRent_SF">OFFSET('Rent Roll Summary Summary'!$K$2,,,COUNTIF('Rent Roll Summary Summary'!$B$2:$B$6,"&lt;&gt;"))</definedName>
    <definedName name="RentSummary_PotentialRent_Month">OFFSET('Rent Roll Summary Summary'!$J$2,,,COUNTIF('Rent Roll Summary Summary'!$B$2:$B$6,"&lt;&gt;"))</definedName>
    <definedName name="RentSummary_PotentialRent_SF">OFFSET('Rent Roll Summary Summary'!K$2,,,COUNTIF('Rent Roll Summary Summary'!$B$2:$B$6,"&lt;&gt;"))</definedName>
    <definedName name="RentSummary_ScheduledRent_Month">OFFSET('Rent Roll Summary Summary'!$I$2,,,COUNTIF('Rent Roll Summary Summary'!$B$2:$B$6,"&lt;&gt;"))</definedName>
    <definedName name="RentSummary_ScheduledRent_SF">OFFSET('Rent Roll Summary Summary'!$L$2,,,COUNTIF('Rent Roll Summary Summary'!$B$2:$B$6,"&lt;&gt;"))</definedName>
    <definedName name="RentSummary_Units">OFFSET('Rent Roll Summary Summary'!$C$2,,,COUNTIF('Rent Roll Summary Summary'!$B$2:$B$6,"&lt;&gt;"))</definedName>
    <definedName name="RentSummaryList">OFFSET('Rent Roll Summary Summary'!$B$2,,,COUNTIF('Rent Roll Summary Summary'!$B$2:$B$6,"&lt;&gt;"))</definedName>
    <definedName name="RentTimePeriod">'Rent Roll Detail'!$G$1</definedName>
    <definedName name="ReturnOnEquityScenariosChart">'Equity Returns Chart'!$C$4:$O$21</definedName>
    <definedName name="revpar">Import!$C$53</definedName>
    <definedName name="revpar_pro_forma">Import!$C$54</definedName>
    <definedName name="RI_Reno">'Rent Roll Detail'!$K$5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RD_Print">'Rent Roll Detail'!$B$3</definedName>
    <definedName name="RRD_SF">'Rent Roll Detail'!$M$1</definedName>
    <definedName name="RRD_Start">'Rent Roll Detail'!$B$5</definedName>
    <definedName name="RRD_TotalGross">'Rent Roll Detail Input'!$N$8</definedName>
    <definedName name="RRD_UnitSize">'Rent Roll Detail Input'!$N$4</definedName>
    <definedName name="RRDI_SFCount">'Rent Roll Detail Input'!$L$8</definedName>
    <definedName name="RRI_Potential">'Rent Roll Detail Input'!$L$12</definedName>
    <definedName name="RRI_Reno">'Rent Roll Detail Input'!$M$12</definedName>
    <definedName name="RRI_SF">'Rent Roll Detail Input'!$I$12</definedName>
    <definedName name="RRI_SubUnit">'Rent Roll Detail Input'!$H$12</definedName>
    <definedName name="RRI_TotalCurRent">'Rent Roll Detail Input'!$J$12</definedName>
    <definedName name="rrm">Import!$C$57</definedName>
    <definedName name="rrm_pro_forma">Import!$C$58</definedName>
    <definedName name="RRS_DayNum">'Rent Roll Summary'!$A$4</definedName>
    <definedName name="RRS_Print">'Rent Roll Summary'!$B$7</definedName>
    <definedName name="RRS_Reno">'Rent Roll Summary'!$O$9</definedName>
    <definedName name="RRS_RentRange">'Rent Roll Summary'!$C$6</definedName>
    <definedName name="RRSI_Reno">'Rent Roll Summary Input'!$I$7</definedName>
    <definedName name="sale_leaseback">Import!$C$48</definedName>
    <definedName name="sale_price">Import!$C$13</definedName>
    <definedName name="SED_Amort_P_Adj">SED_Amort_Periods - SED_Interest_Only</definedName>
    <definedName name="SED_Amort_Periods">SED_Amort*12</definedName>
    <definedName name="SED_CUMPRINC">IFERROR(CUMPRINC(SED_I_Adj,SED_Amort_P_Adj, SED_Orig_Loan_Amount,1, SED_Int_Only_Period,0),0)</definedName>
    <definedName name="SED_FV">FV(SED_I_Adj, SED_Orig_Term*12, SED_PMT, SED_Orig_Loan_Amount)</definedName>
    <definedName name="SED_I_Adj">(SED_Interest_Rate/SED_Rate_Compounding_Switch + 1) ^ (SED_Rate_Compounding_Switch/12)-1</definedName>
    <definedName name="SED_Int_Only_Period">SED_Rate_Period_Switch- (SED_Interest_Only/12) * SED_Rate_Compounding_Switch</definedName>
    <definedName name="SED_IPMT">IPMT(SED_I_Adj,1,SED_Amort_P_Adj, SED_Orig_Loan_Amount,0)</definedName>
    <definedName name="SED_Loan_Balance">SED_Orig_Loan_Amount + SED_CUMPRINC</definedName>
    <definedName name="SED_Loan_Constant">-SED_Loan_Payment/SED_Orig_Loan_Amount*12</definedName>
    <definedName name="SED_Loan_Due_Date">EDATE(SED_Origination_Date, SED_Orig_Term*12-1)</definedName>
    <definedName name="SED_Loan_Payment">IF(SED_Int_Only_Period&lt;0, SED_IPMT,SED_PMT)</definedName>
    <definedName name="SED_PMT">PMT(SED_I_Adj, SED_Amort_P_Adj, SED_Orig_Loan_Amount)</definedName>
    <definedName name="SED_PPMT">PPMT(SED_I_Adj,1, SED_Amort_P_Adj, SED_Orig_Loan_Amount,0)</definedName>
    <definedName name="SED_Rate_Compounding_Switch">_xlfn.SWITCH(SED_Compounding_Switch, "Monthly", 12, "Semi-Annually", 2)</definedName>
    <definedName name="SED_Rate_Period_Switch">ROUNDUP(YEARFRAC(SED_Origination_Date,Date_of_Analysis)*SED_Rate_Compounding_Switch,0)</definedName>
    <definedName name="SED_Time_Remaining">ROUNDUP(YEARFRAC(SED_Origination_Date, SED_Loan_Due_Date)*12,0)+1</definedName>
    <definedName name="SellerCompounding">Input!$B$56</definedName>
    <definedName name="SubUnitTypeList">OFFSET('Rent Roll Detail Input'!$Q$12,0,0,'Rent Roll Detail Input'!$Q$43,1)</definedName>
    <definedName name="Summary">IF(Input!$B$16="Summary",1,0)</definedName>
    <definedName name="SummaryReno">'Rent Roll Summary Input'!$R$12</definedName>
    <definedName name="Switch_Interest_Rate">_xlfn.SWITCH(AF_Type, "All Cash", "N/A", "Financed - New Loan", AF_Interest_Rate, SED_Interest_Rate)</definedName>
    <definedName name="Switch_PMT">_xlfn.SWITCH(AF_Type,"All Cash","N/A","Financed - New Loan",AF_PMT,SED_PMT)</definedName>
    <definedName name="SwitchAcqMethod">Input!$B$39</definedName>
    <definedName name="SwitchCapEx">Input!$B$36</definedName>
    <definedName name="SwitchCompound">Input!$D$41</definedName>
    <definedName name="SwitchExistingDebt">Input!$B$43</definedName>
    <definedName name="SwitchIRRCalc">Input!$B$30</definedName>
    <definedName name="SwitchLossToLease">Input!$B$17</definedName>
    <definedName name="SwitchMezz">Input!$B$40</definedName>
    <definedName name="SwitchRefi">Input!$B$41</definedName>
    <definedName name="SwitchRentRollType">Input!$B$16</definedName>
    <definedName name="SwitchRETax">'Operating Statement'!$AA$3</definedName>
    <definedName name="tenant">Import!$C$49</definedName>
    <definedName name="tenant_improvements">Import!$C$32</definedName>
    <definedName name="tenant_improvements_pro_forma">Import!$C$33</definedName>
    <definedName name="tenant_mix">Import!$E$21:$G$28</definedName>
    <definedName name="tenant_type">Import!$C$43</definedName>
    <definedName name="Time_Remaining_on_Lease">IF(sale_leaseback = TRUE, "N/A", (lease_expiration-Date_of_Analysis)/365)</definedName>
    <definedName name="total_return">Import!$C$16</definedName>
    <definedName name="total_return_pro_forma">Import!$C$17</definedName>
    <definedName name="TotalCurrentMonthlyIncomeCell">Data!$I$69</definedName>
    <definedName name="TotalGrossSFCell">Data!$D$37</definedName>
    <definedName name="TotalPotentialMonthlyIncomeCell">Data!$L$69</definedName>
    <definedName name="TotalRentableSFCell">Data!$D$36</definedName>
    <definedName name="TotalReturn1Cell">Data!$D$57</definedName>
    <definedName name="TotalReturn2Cell">Data!$D$58</definedName>
    <definedName name="TotalReturnCurrency1Cell">Data!$D$55</definedName>
    <definedName name="TotalReturnCurrency2Cell">Data!$D$56</definedName>
    <definedName name="TotalUnitCountCell">Data!$D$32</definedName>
    <definedName name="TotalUnits">Input!$B$18</definedName>
    <definedName name="TransitionVersions">DDL!$G$1:$H$7</definedName>
    <definedName name="unit_count">Import!$C$27</definedName>
    <definedName name="unit_mix">Import!$E$3:$H$7</definedName>
    <definedName name="UnitCountDataTable">Data!$D$64:$L$68</definedName>
    <definedName name="UnitDistributionChart">'Rent Roll Summary'!$X$39:$AA$53</definedName>
    <definedName name="UnitRentChart">'Rent Roll Summary'!$X$60:$AA$76</definedName>
    <definedName name="UnitSubTypeDataTable" localSheetId="4">Data!#REF!</definedName>
    <definedName name="UnitType">IFERROR(OFFSET('Pricing Detail'!$F$29,COUNTA('Pricing Detail'!$G$29:$G$33),0,0),0)</definedName>
    <definedName name="UnitTypeChart">IFERROR(OFFSET('Pricing Detail'!$F$30,0,0,COUNTIF('Pricing Detail'!$F$30:$F$34,"&lt;&gt;"""),1),0)</definedName>
    <definedName name="UtilitiesCurrentCell">Data!$D$116</definedName>
    <definedName name="UtilitiesProjectionCell">Data!$D$117</definedName>
    <definedName name="vacancy_cost">Import!$C$23</definedName>
    <definedName name="vacancy_cost_pro_forma">Import!$C$24</definedName>
    <definedName name="vacancy_percent">Import!$C$25</definedName>
    <definedName name="vacancy_percent_pro_forma">Import!$C$26</definedName>
    <definedName name="what" localSheetId="4" hidden="1">{"Page1",#N/A,FALSE,"7979";"Page2",#N/A,FALSE,"7979";"Page3",#N/A,FALSE,"7979"}</definedName>
    <definedName name="what" localSheetId="3" hidden="1">{"Page1",#N/A,FALSE,"7979";"Page2",#N/A,FALSE,"7979";"Page3",#N/A,FALSE,"7979"}</definedName>
    <definedName name="what" localSheetId="26" hidden="1">{"Page1",#N/A,FALSE,"7979";"Page2",#N/A,FALSE,"7979";"Page3",#N/A,FALSE,"7979"}</definedName>
    <definedName name="what" localSheetId="32" hidden="1">{"Page1",#N/A,FALSE,"7979";"Page2",#N/A,FALSE,"7979";"Page3",#N/A,FALSE,"7979"}</definedName>
    <definedName name="what" localSheetId="6" hidden="1">{"Page1",#N/A,FALSE,"7979";"Page2",#N/A,FALSE,"7979";"Page3",#N/A,FALSE,"7979"}</definedName>
    <definedName name="what" localSheetId="2" hidden="1">{"Page1",#N/A,FALSE,"7979";"Page2",#N/A,FALSE,"7979";"Page3",#N/A,FALSE,"7979"}</definedName>
    <definedName name="what" localSheetId="25" hidden="1">{"Page1",#N/A,FALSE,"7979";"Page2",#N/A,FALSE,"7979";"Page3",#N/A,FALSE,"7979"}</definedName>
    <definedName name="what" localSheetId="7" hidden="1">{"Page1",#N/A,FALSE,"7979";"Page2",#N/A,FALSE,"7979";"Page3",#N/A,FALSE,"7979"}</definedName>
    <definedName name="what" localSheetId="15" hidden="1">{"Page1",#N/A,FALSE,"7979";"Page2",#N/A,FALSE,"7979";"Page3",#N/A,FALSE,"7979"}</definedName>
    <definedName name="what" localSheetId="12" hidden="1">{"Page1",#N/A,FALSE,"7979";"Page2",#N/A,FALSE,"7979";"Page3",#N/A,FALSE,"7979"}</definedName>
    <definedName name="what" localSheetId="11" hidden="1">{"Page1",#N/A,FALSE,"7979";"Page2",#N/A,FALSE,"7979";"Page3",#N/A,FALSE,"7979"}</definedName>
    <definedName name="what" localSheetId="13" hidden="1">{"Page1",#N/A,FALSE,"7979";"Page2",#N/A,FALSE,"7979";"Page3",#N/A,FALSE,"7979"}</definedName>
    <definedName name="what" localSheetId="24" hidden="1">{"Page1",#N/A,FALSE,"7979";"Page2",#N/A,FALSE,"7979";"Page3",#N/A,FALSE,"7979"}</definedName>
    <definedName name="what" localSheetId="27" hidden="1">{"Page1",#N/A,FALSE,"7979";"Page2",#N/A,FALSE,"7979";"Page3",#N/A,FALSE,"7979"}</definedName>
    <definedName name="what" localSheetId="29" hidden="1">{"Page1",#N/A,FALSE,"7979";"Page2",#N/A,FALSE,"7979";"Page3",#N/A,FALSE,"7979"}</definedName>
    <definedName name="what" localSheetId="28" hidden="1">{"Page1",#N/A,FALSE,"7979";"Page2",#N/A,FALSE,"7979";"Page3",#N/A,FALSE,"7979"}</definedName>
    <definedName name="what" localSheetId="9" hidden="1">{"Page1",#N/A,FALSE,"7979";"Page2",#N/A,FALSE,"7979";"Page3",#N/A,FALSE,"7979"}</definedName>
    <definedName name="what" localSheetId="10" hidden="1">{"Page1",#N/A,FALSE,"7979";"Page2",#N/A,FALSE,"7979";"Page3",#N/A,FALSE,"7979"}</definedName>
    <definedName name="what" localSheetId="20" hidden="1">{"Page1",#N/A,FALSE,"7979";"Page2",#N/A,FALSE,"7979";"Page3",#N/A,FALSE,"7979"}</definedName>
    <definedName name="what" hidden="1">{"Page1",#N/A,FALSE,"7979";"Page2",#N/A,FALSE,"7979";"Page3",#N/A,FALSE,"7979"}</definedName>
    <definedName name="wrn.ALL." localSheetId="4"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3"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6"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32"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6"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5"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7"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5"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2"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1"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3"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4"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7"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9"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8"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9"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0"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0"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DETAIL._.SCHEDULES." localSheetId="4" hidden="1">{"ACCOUNT DETAIL",#N/A,FALSE,"SCHEDULE E";"ACCOUNT DETAIL",#N/A,FALSE,"SCHEDULE G";"ACCOUNT DETAIL",#N/A,FALSE,"SCHEDULE H";"ACCOUNT DETAIL",#N/A,FALSE,"SCHEDULE I"}</definedName>
    <definedName name="wrn.DETAIL._.SCHEDULES." localSheetId="3" hidden="1">{"ACCOUNT DETAIL",#N/A,FALSE,"SCHEDULE E";"ACCOUNT DETAIL",#N/A,FALSE,"SCHEDULE G";"ACCOUNT DETAIL",#N/A,FALSE,"SCHEDULE H";"ACCOUNT DETAIL",#N/A,FALSE,"SCHEDULE I"}</definedName>
    <definedName name="wrn.DETAIL._.SCHEDULES." localSheetId="26" hidden="1">{"ACCOUNT DETAIL",#N/A,FALSE,"SCHEDULE E";"ACCOUNT DETAIL",#N/A,FALSE,"SCHEDULE G";"ACCOUNT DETAIL",#N/A,FALSE,"SCHEDULE H";"ACCOUNT DETAIL",#N/A,FALSE,"SCHEDULE I"}</definedName>
    <definedName name="wrn.DETAIL._.SCHEDULES." localSheetId="32" hidden="1">{"ACCOUNT DETAIL",#N/A,FALSE,"SCHEDULE E";"ACCOUNT DETAIL",#N/A,FALSE,"SCHEDULE G";"ACCOUNT DETAIL",#N/A,FALSE,"SCHEDULE H";"ACCOUNT DETAIL",#N/A,FALSE,"SCHEDULE I"}</definedName>
    <definedName name="wrn.DETAIL._.SCHEDULES." localSheetId="6" hidden="1">{"ACCOUNT DETAIL",#N/A,FALSE,"SCHEDULE E";"ACCOUNT DETAIL",#N/A,FALSE,"SCHEDULE G";"ACCOUNT DETAIL",#N/A,FALSE,"SCHEDULE H";"ACCOUNT DETAIL",#N/A,FALSE,"SCHEDULE I"}</definedName>
    <definedName name="wrn.DETAIL._.SCHEDULES." localSheetId="2" hidden="1">{"ACCOUNT DETAIL",#N/A,FALSE,"SCHEDULE E";"ACCOUNT DETAIL",#N/A,FALSE,"SCHEDULE G";"ACCOUNT DETAIL",#N/A,FALSE,"SCHEDULE H";"ACCOUNT DETAIL",#N/A,FALSE,"SCHEDULE I"}</definedName>
    <definedName name="wrn.DETAIL._.SCHEDULES." localSheetId="25" hidden="1">{"ACCOUNT DETAIL",#N/A,FALSE,"SCHEDULE E";"ACCOUNT DETAIL",#N/A,FALSE,"SCHEDULE G";"ACCOUNT DETAIL",#N/A,FALSE,"SCHEDULE H";"ACCOUNT DETAIL",#N/A,FALSE,"SCHEDULE I"}</definedName>
    <definedName name="wrn.DETAIL._.SCHEDULES." localSheetId="7" hidden="1">{"ACCOUNT DETAIL",#N/A,FALSE,"SCHEDULE E";"ACCOUNT DETAIL",#N/A,FALSE,"SCHEDULE G";"ACCOUNT DETAIL",#N/A,FALSE,"SCHEDULE H";"ACCOUNT DETAIL",#N/A,FALSE,"SCHEDULE I"}</definedName>
    <definedName name="wrn.DETAIL._.SCHEDULES." localSheetId="15" hidden="1">{"ACCOUNT DETAIL",#N/A,FALSE,"SCHEDULE E";"ACCOUNT DETAIL",#N/A,FALSE,"SCHEDULE G";"ACCOUNT DETAIL",#N/A,FALSE,"SCHEDULE H";"ACCOUNT DETAIL",#N/A,FALSE,"SCHEDULE I"}</definedName>
    <definedName name="wrn.DETAIL._.SCHEDULES." localSheetId="12" hidden="1">{"ACCOUNT DETAIL",#N/A,FALSE,"SCHEDULE E";"ACCOUNT DETAIL",#N/A,FALSE,"SCHEDULE G";"ACCOUNT DETAIL",#N/A,FALSE,"SCHEDULE H";"ACCOUNT DETAIL",#N/A,FALSE,"SCHEDULE I"}</definedName>
    <definedName name="wrn.DETAIL._.SCHEDULES." localSheetId="11" hidden="1">{"ACCOUNT DETAIL",#N/A,FALSE,"SCHEDULE E";"ACCOUNT DETAIL",#N/A,FALSE,"SCHEDULE G";"ACCOUNT DETAIL",#N/A,FALSE,"SCHEDULE H";"ACCOUNT DETAIL",#N/A,FALSE,"SCHEDULE I"}</definedName>
    <definedName name="wrn.DETAIL._.SCHEDULES." localSheetId="13" hidden="1">{"ACCOUNT DETAIL",#N/A,FALSE,"SCHEDULE E";"ACCOUNT DETAIL",#N/A,FALSE,"SCHEDULE G";"ACCOUNT DETAIL",#N/A,FALSE,"SCHEDULE H";"ACCOUNT DETAIL",#N/A,FALSE,"SCHEDULE I"}</definedName>
    <definedName name="wrn.DETAIL._.SCHEDULES." localSheetId="24" hidden="1">{"ACCOUNT DETAIL",#N/A,FALSE,"SCHEDULE E";"ACCOUNT DETAIL",#N/A,FALSE,"SCHEDULE G";"ACCOUNT DETAIL",#N/A,FALSE,"SCHEDULE H";"ACCOUNT DETAIL",#N/A,FALSE,"SCHEDULE I"}</definedName>
    <definedName name="wrn.DETAIL._.SCHEDULES." localSheetId="27" hidden="1">{"ACCOUNT DETAIL",#N/A,FALSE,"SCHEDULE E";"ACCOUNT DETAIL",#N/A,FALSE,"SCHEDULE G";"ACCOUNT DETAIL",#N/A,FALSE,"SCHEDULE H";"ACCOUNT DETAIL",#N/A,FALSE,"SCHEDULE I"}</definedName>
    <definedName name="wrn.DETAIL._.SCHEDULES." localSheetId="29" hidden="1">{"ACCOUNT DETAIL",#N/A,FALSE,"SCHEDULE E";"ACCOUNT DETAIL",#N/A,FALSE,"SCHEDULE G";"ACCOUNT DETAIL",#N/A,FALSE,"SCHEDULE H";"ACCOUNT DETAIL",#N/A,FALSE,"SCHEDULE I"}</definedName>
    <definedName name="wrn.DETAIL._.SCHEDULES." localSheetId="28" hidden="1">{"ACCOUNT DETAIL",#N/A,FALSE,"SCHEDULE E";"ACCOUNT DETAIL",#N/A,FALSE,"SCHEDULE G";"ACCOUNT DETAIL",#N/A,FALSE,"SCHEDULE H";"ACCOUNT DETAIL",#N/A,FALSE,"SCHEDULE I"}</definedName>
    <definedName name="wrn.DETAIL._.SCHEDULES." localSheetId="9" hidden="1">{"ACCOUNT DETAIL",#N/A,FALSE,"SCHEDULE E";"ACCOUNT DETAIL",#N/A,FALSE,"SCHEDULE G";"ACCOUNT DETAIL",#N/A,FALSE,"SCHEDULE H";"ACCOUNT DETAIL",#N/A,FALSE,"SCHEDULE I"}</definedName>
    <definedName name="wrn.DETAIL._.SCHEDULES." localSheetId="10" hidden="1">{"ACCOUNT DETAIL",#N/A,FALSE,"SCHEDULE E";"ACCOUNT DETAIL",#N/A,FALSE,"SCHEDULE G";"ACCOUNT DETAIL",#N/A,FALSE,"SCHEDULE H";"ACCOUNT DETAIL",#N/A,FALSE,"SCHEDULE I"}</definedName>
    <definedName name="wrn.DETAIL._.SCHEDULES." localSheetId="20" hidden="1">{"ACCOUNT DETAIL",#N/A,FALSE,"SCHEDULE E";"ACCOUNT DETAIL",#N/A,FALSE,"SCHEDULE G";"ACCOUNT DETAIL",#N/A,FALSE,"SCHEDULE H";"ACCOUNT DETAIL",#N/A,FALSE,"SCHEDULE I"}</definedName>
    <definedName name="wrn.DETAIL._.SCHEDULES." hidden="1">{"ACCOUNT DETAIL",#N/A,FALSE,"SCHEDULE E";"ACCOUNT DETAIL",#N/A,FALSE,"SCHEDULE G";"ACCOUNT DETAIL",#N/A,FALSE,"SCHEDULE H";"ACCOUNT DETAIL",#N/A,FALSE,"SCHEDULE I"}</definedName>
    <definedName name="wrn.LETTERED." localSheetId="4"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3"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6"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32"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6"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5"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5"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2"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1"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3"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4"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9"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8"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9"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0"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0"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oan._.Summary." localSheetId="4" hidden="1">{"Loan Summary",#N/A,FALSE,"Phase 1 loan &amp; data"}</definedName>
    <definedName name="wrn.Loan._.Summary." localSheetId="3" hidden="1">{"Loan Summary",#N/A,FALSE,"Phase 1 loan &amp; data"}</definedName>
    <definedName name="wrn.Loan._.Summary." localSheetId="26" hidden="1">{"Loan Summary",#N/A,FALSE,"Phase 1 loan &amp; data"}</definedName>
    <definedName name="wrn.Loan._.Summary." localSheetId="32" hidden="1">{"Loan Summary",#N/A,FALSE,"Phase 1 loan &amp; data"}</definedName>
    <definedName name="wrn.Loan._.Summary." localSheetId="6" hidden="1">{"Loan Summary",#N/A,FALSE,"Phase 1 loan &amp; data"}</definedName>
    <definedName name="wrn.Loan._.Summary." localSheetId="2" hidden="1">{"Loan Summary",#N/A,FALSE,"Phase 1 loan &amp; data"}</definedName>
    <definedName name="wrn.Loan._.Summary." localSheetId="25" hidden="1">{"Loan Summary",#N/A,FALSE,"Phase 1 loan &amp; data"}</definedName>
    <definedName name="wrn.Loan._.Summary." localSheetId="7" hidden="1">{"Loan Summary",#N/A,FALSE,"Phase 1 loan &amp; data"}</definedName>
    <definedName name="wrn.Loan._.Summary." localSheetId="15" hidden="1">{"Loan Summary",#N/A,FALSE,"Phase 1 loan &amp; data"}</definedName>
    <definedName name="wrn.Loan._.Summary." localSheetId="12" hidden="1">{"Loan Summary",#N/A,FALSE,"Phase 1 loan &amp; data"}</definedName>
    <definedName name="wrn.Loan._.Summary." localSheetId="11" hidden="1">{"Loan Summary",#N/A,FALSE,"Phase 1 loan &amp; data"}</definedName>
    <definedName name="wrn.Loan._.Summary." localSheetId="13" hidden="1">{"Loan Summary",#N/A,FALSE,"Phase 1 loan &amp; data"}</definedName>
    <definedName name="wrn.Loan._.Summary." localSheetId="24" hidden="1">{"Loan Summary",#N/A,FALSE,"Phase 1 loan &amp; data"}</definedName>
    <definedName name="wrn.Loan._.Summary." localSheetId="27" hidden="1">{"Loan Summary",#N/A,FALSE,"Phase 1 loan &amp; data"}</definedName>
    <definedName name="wrn.Loan._.Summary." localSheetId="29" hidden="1">{"Loan Summary",#N/A,FALSE,"Phase 1 loan &amp; data"}</definedName>
    <definedName name="wrn.Loan._.Summary." localSheetId="28" hidden="1">{"Loan Summary",#N/A,FALSE,"Phase 1 loan &amp; data"}</definedName>
    <definedName name="wrn.Loan._.Summary." localSheetId="9" hidden="1">{"Loan Summary",#N/A,FALSE,"Phase 1 loan &amp; data"}</definedName>
    <definedName name="wrn.Loan._.Summary." localSheetId="10" hidden="1">{"Loan Summary",#N/A,FALSE,"Phase 1 loan &amp; data"}</definedName>
    <definedName name="wrn.Loan._.Summary." localSheetId="20" hidden="1">{"Loan Summary",#N/A,FALSE,"Phase 1 loan &amp; data"}</definedName>
    <definedName name="wrn.Loan._.Summary." hidden="1">{"Loan Summary",#N/A,FALSE,"Phase 1 loan &amp; data"}</definedName>
    <definedName name="wrn.MARKETING." localSheetId="4" hidden="1">{#N/A,#N/A,FALSE,"MARKETING I";#N/A,#N/A,FALSE,"MARKETING II";#N/A,#N/A,FALSE,"MARKETING III"}</definedName>
    <definedName name="wrn.MARKETING." localSheetId="3" hidden="1">{#N/A,#N/A,FALSE,"MARKETING I";#N/A,#N/A,FALSE,"MARKETING II";#N/A,#N/A,FALSE,"MARKETING III"}</definedName>
    <definedName name="wrn.MARKETING." localSheetId="26" hidden="1">{#N/A,#N/A,FALSE,"MARKETING I";#N/A,#N/A,FALSE,"MARKETING II";#N/A,#N/A,FALSE,"MARKETING III"}</definedName>
    <definedName name="wrn.MARKETING." localSheetId="32" hidden="1">{#N/A,#N/A,FALSE,"MARKETING I";#N/A,#N/A,FALSE,"MARKETING II";#N/A,#N/A,FALSE,"MARKETING III"}</definedName>
    <definedName name="wrn.MARKETING." localSheetId="6" hidden="1">{#N/A,#N/A,FALSE,"MARKETING I";#N/A,#N/A,FALSE,"MARKETING II";#N/A,#N/A,FALSE,"MARKETING III"}</definedName>
    <definedName name="wrn.MARKETING." localSheetId="2" hidden="1">{#N/A,#N/A,FALSE,"MARKETING I";#N/A,#N/A,FALSE,"MARKETING II";#N/A,#N/A,FALSE,"MARKETING III"}</definedName>
    <definedName name="wrn.MARKETING." localSheetId="25" hidden="1">{#N/A,#N/A,FALSE,"MARKETING I";#N/A,#N/A,FALSE,"MARKETING II";#N/A,#N/A,FALSE,"MARKETING III"}</definedName>
    <definedName name="wrn.MARKETING." localSheetId="7" hidden="1">{#N/A,#N/A,FALSE,"MARKETING I";#N/A,#N/A,FALSE,"MARKETING II";#N/A,#N/A,FALSE,"MARKETING III"}</definedName>
    <definedName name="wrn.MARKETING." localSheetId="15" hidden="1">{#N/A,#N/A,FALSE,"MARKETING I";#N/A,#N/A,FALSE,"MARKETING II";#N/A,#N/A,FALSE,"MARKETING III"}</definedName>
    <definedName name="wrn.MARKETING." localSheetId="12" hidden="1">{#N/A,#N/A,FALSE,"MARKETING I";#N/A,#N/A,FALSE,"MARKETING II";#N/A,#N/A,FALSE,"MARKETING III"}</definedName>
    <definedName name="wrn.MARKETING." localSheetId="11" hidden="1">{#N/A,#N/A,FALSE,"MARKETING I";#N/A,#N/A,FALSE,"MARKETING II";#N/A,#N/A,FALSE,"MARKETING III"}</definedName>
    <definedName name="wrn.MARKETING." localSheetId="13" hidden="1">{#N/A,#N/A,FALSE,"MARKETING I";#N/A,#N/A,FALSE,"MARKETING II";#N/A,#N/A,FALSE,"MARKETING III"}</definedName>
    <definedName name="wrn.MARKETING." localSheetId="24" hidden="1">{#N/A,#N/A,FALSE,"MARKETING I";#N/A,#N/A,FALSE,"MARKETING II";#N/A,#N/A,FALSE,"MARKETING III"}</definedName>
    <definedName name="wrn.MARKETING." localSheetId="27" hidden="1">{#N/A,#N/A,FALSE,"MARKETING I";#N/A,#N/A,FALSE,"MARKETING II";#N/A,#N/A,FALSE,"MARKETING III"}</definedName>
    <definedName name="wrn.MARKETING." localSheetId="29" hidden="1">{#N/A,#N/A,FALSE,"MARKETING I";#N/A,#N/A,FALSE,"MARKETING II";#N/A,#N/A,FALSE,"MARKETING III"}</definedName>
    <definedName name="wrn.MARKETING." localSheetId="28" hidden="1">{#N/A,#N/A,FALSE,"MARKETING I";#N/A,#N/A,FALSE,"MARKETING II";#N/A,#N/A,FALSE,"MARKETING III"}</definedName>
    <definedName name="wrn.MARKETING." localSheetId="9" hidden="1">{#N/A,#N/A,FALSE,"MARKETING I";#N/A,#N/A,FALSE,"MARKETING II";#N/A,#N/A,FALSE,"MARKETING III"}</definedName>
    <definedName name="wrn.MARKETING." localSheetId="10" hidden="1">{#N/A,#N/A,FALSE,"MARKETING I";#N/A,#N/A,FALSE,"MARKETING II";#N/A,#N/A,FALSE,"MARKETING III"}</definedName>
    <definedName name="wrn.MARKETING." localSheetId="20" hidden="1">{#N/A,#N/A,FALSE,"MARKETING I";#N/A,#N/A,FALSE,"MARKETING II";#N/A,#N/A,FALSE,"MARKETING III"}</definedName>
    <definedName name="wrn.MARKETING." hidden="1">{#N/A,#N/A,FALSE,"MARKETING I";#N/A,#N/A,FALSE,"MARKETING II";#N/A,#N/A,FALSE,"MARKETING III"}</definedName>
    <definedName name="wrn.MINRENT." localSheetId="4" hidden="1">{"MINRENT2",#N/A,FALSE,"SCHEDULE B"}</definedName>
    <definedName name="wrn.MINRENT." localSheetId="3" hidden="1">{"MINRENT2",#N/A,FALSE,"SCHEDULE B"}</definedName>
    <definedName name="wrn.MINRENT." localSheetId="26" hidden="1">{"MINRENT2",#N/A,FALSE,"SCHEDULE B"}</definedName>
    <definedName name="wrn.MINRENT." localSheetId="32" hidden="1">{"MINRENT2",#N/A,FALSE,"SCHEDULE B"}</definedName>
    <definedName name="wrn.MINRENT." localSheetId="6" hidden="1">{"MINRENT2",#N/A,FALSE,"SCHEDULE B"}</definedName>
    <definedName name="wrn.MINRENT." localSheetId="2" hidden="1">{"MINRENT2",#N/A,FALSE,"SCHEDULE B"}</definedName>
    <definedName name="wrn.MINRENT." localSheetId="25" hidden="1">{"MINRENT2",#N/A,FALSE,"SCHEDULE B"}</definedName>
    <definedName name="wrn.MINRENT." localSheetId="7" hidden="1">{"MINRENT2",#N/A,FALSE,"SCHEDULE B"}</definedName>
    <definedName name="wrn.MINRENT." localSheetId="15" hidden="1">{"MINRENT2",#N/A,FALSE,"SCHEDULE B"}</definedName>
    <definedName name="wrn.MINRENT." localSheetId="12" hidden="1">{"MINRENT2",#N/A,FALSE,"SCHEDULE B"}</definedName>
    <definedName name="wrn.MINRENT." localSheetId="11" hidden="1">{"MINRENT2",#N/A,FALSE,"SCHEDULE B"}</definedName>
    <definedName name="wrn.MINRENT." localSheetId="13" hidden="1">{"MINRENT2",#N/A,FALSE,"SCHEDULE B"}</definedName>
    <definedName name="wrn.MINRENT." localSheetId="24" hidden="1">{"MINRENT2",#N/A,FALSE,"SCHEDULE B"}</definedName>
    <definedName name="wrn.MINRENT." localSheetId="27" hidden="1">{"MINRENT2",#N/A,FALSE,"SCHEDULE B"}</definedName>
    <definedName name="wrn.MINRENT." localSheetId="29" hidden="1">{"MINRENT2",#N/A,FALSE,"SCHEDULE B"}</definedName>
    <definedName name="wrn.MINRENT." localSheetId="28" hidden="1">{"MINRENT2",#N/A,FALSE,"SCHEDULE B"}</definedName>
    <definedName name="wrn.MINRENT." localSheetId="9" hidden="1">{"MINRENT2",#N/A,FALSE,"SCHEDULE B"}</definedName>
    <definedName name="wrn.MINRENT." localSheetId="10" hidden="1">{"MINRENT2",#N/A,FALSE,"SCHEDULE B"}</definedName>
    <definedName name="wrn.MINRENT." localSheetId="20" hidden="1">{"MINRENT2",#N/A,FALSE,"SCHEDULE B"}</definedName>
    <definedName name="wrn.MINRENT." hidden="1">{"MINRENT2",#N/A,FALSE,"SCHEDULE B"}</definedName>
    <definedName name="wrn.Partial." localSheetId="4" hidden="1">{#N/A,#N/A,FALSE,"1Summary";#N/A,#N/A,FALSE,"Assumptions";#N/A,#N/A,FALSE,"Rent Roll Summary";#N/A,#N/A,FALSE,"Effective Rental Income Detail";#N/A,#N/A,FALSE,"Cash Flow Projections";#N/A,#N/A,FALSE,"Operating Statement";#N/A,#N/A,FALSE,"Pricing Matrix"}</definedName>
    <definedName name="wrn.Partial." localSheetId="3" hidden="1">{#N/A,#N/A,FALSE,"1Summary";#N/A,#N/A,FALSE,"Assumptions";#N/A,#N/A,FALSE,"Rent Roll Summary";#N/A,#N/A,FALSE,"Effective Rental Income Detail";#N/A,#N/A,FALSE,"Cash Flow Projections";#N/A,#N/A,FALSE,"Operating Statement";#N/A,#N/A,FALSE,"Pricing Matrix"}</definedName>
    <definedName name="wrn.Partial." localSheetId="26" hidden="1">{#N/A,#N/A,FALSE,"1Summary";#N/A,#N/A,FALSE,"Assumptions";#N/A,#N/A,FALSE,"Rent Roll Summary";#N/A,#N/A,FALSE,"Effective Rental Income Detail";#N/A,#N/A,FALSE,"Cash Flow Projections";#N/A,#N/A,FALSE,"Operating Statement";#N/A,#N/A,FALSE,"Pricing Matrix"}</definedName>
    <definedName name="wrn.Partial." localSheetId="32" hidden="1">{#N/A,#N/A,FALSE,"1Summary";#N/A,#N/A,FALSE,"Assumptions";#N/A,#N/A,FALSE,"Rent Roll Summary";#N/A,#N/A,FALSE,"Effective Rental Income Detail";#N/A,#N/A,FALSE,"Cash Flow Projections";#N/A,#N/A,FALSE,"Operating Statement";#N/A,#N/A,FALSE,"Pricing Matrix"}</definedName>
    <definedName name="wrn.Partial." localSheetId="6" hidden="1">{#N/A,#N/A,FALSE,"1Summary";#N/A,#N/A,FALSE,"Assumptions";#N/A,#N/A,FALSE,"Rent Roll Summary";#N/A,#N/A,FALSE,"Effective Rental Income Detail";#N/A,#N/A,FALSE,"Cash Flow Projections";#N/A,#N/A,FALSE,"Operating Statement";#N/A,#N/A,FALSE,"Pricing Matrix"}</definedName>
    <definedName name="wrn.Partial." localSheetId="2" hidden="1">{#N/A,#N/A,FALSE,"1Summary";#N/A,#N/A,FALSE,"Assumptions";#N/A,#N/A,FALSE,"Rent Roll Summary";#N/A,#N/A,FALSE,"Effective Rental Income Detail";#N/A,#N/A,FALSE,"Cash Flow Projections";#N/A,#N/A,FALSE,"Operating Statement";#N/A,#N/A,FALSE,"Pricing Matrix"}</definedName>
    <definedName name="wrn.Partial." localSheetId="25" hidden="1">{#N/A,#N/A,FALSE,"1Summary";#N/A,#N/A,FALSE,"Assumptions";#N/A,#N/A,FALSE,"Rent Roll Summary";#N/A,#N/A,FALSE,"Effective Rental Income Detail";#N/A,#N/A,FALSE,"Cash Flow Projections";#N/A,#N/A,FALSE,"Operating Statement";#N/A,#N/A,FALSE,"Pricing Matrix"}</definedName>
    <definedName name="wrn.Partial." localSheetId="7" hidden="1">{#N/A,#N/A,FALSE,"1Summary";#N/A,#N/A,FALSE,"Assumptions";#N/A,#N/A,FALSE,"Rent Roll Summary";#N/A,#N/A,FALSE,"Effective Rental Income Detail";#N/A,#N/A,FALSE,"Cash Flow Projections";#N/A,#N/A,FALSE,"Operating Statement";#N/A,#N/A,FALSE,"Pricing Matrix"}</definedName>
    <definedName name="wrn.Partial." localSheetId="15" hidden="1">{#N/A,#N/A,FALSE,"1Summary";#N/A,#N/A,FALSE,"Assumptions";#N/A,#N/A,FALSE,"Rent Roll Summary";#N/A,#N/A,FALSE,"Effective Rental Income Detail";#N/A,#N/A,FALSE,"Cash Flow Projections";#N/A,#N/A,FALSE,"Operating Statement";#N/A,#N/A,FALSE,"Pricing Matrix"}</definedName>
    <definedName name="wrn.Partial." localSheetId="12" hidden="1">{#N/A,#N/A,FALSE,"1Summary";#N/A,#N/A,FALSE,"Assumptions";#N/A,#N/A,FALSE,"Rent Roll Summary";#N/A,#N/A,FALSE,"Effective Rental Income Detail";#N/A,#N/A,FALSE,"Cash Flow Projections";#N/A,#N/A,FALSE,"Operating Statement";#N/A,#N/A,FALSE,"Pricing Matrix"}</definedName>
    <definedName name="wrn.Partial." localSheetId="11" hidden="1">{#N/A,#N/A,FALSE,"1Summary";#N/A,#N/A,FALSE,"Assumptions";#N/A,#N/A,FALSE,"Rent Roll Summary";#N/A,#N/A,FALSE,"Effective Rental Income Detail";#N/A,#N/A,FALSE,"Cash Flow Projections";#N/A,#N/A,FALSE,"Operating Statement";#N/A,#N/A,FALSE,"Pricing Matrix"}</definedName>
    <definedName name="wrn.Partial." localSheetId="13" hidden="1">{#N/A,#N/A,FALSE,"1Summary";#N/A,#N/A,FALSE,"Assumptions";#N/A,#N/A,FALSE,"Rent Roll Summary";#N/A,#N/A,FALSE,"Effective Rental Income Detail";#N/A,#N/A,FALSE,"Cash Flow Projections";#N/A,#N/A,FALSE,"Operating Statement";#N/A,#N/A,FALSE,"Pricing Matrix"}</definedName>
    <definedName name="wrn.Partial." localSheetId="24" hidden="1">{#N/A,#N/A,FALSE,"1Summary";#N/A,#N/A,FALSE,"Assumptions";#N/A,#N/A,FALSE,"Rent Roll Summary";#N/A,#N/A,FALSE,"Effective Rental Income Detail";#N/A,#N/A,FALSE,"Cash Flow Projections";#N/A,#N/A,FALSE,"Operating Statement";#N/A,#N/A,FALSE,"Pricing Matrix"}</definedName>
    <definedName name="wrn.Partial." localSheetId="27" hidden="1">{#N/A,#N/A,FALSE,"1Summary";#N/A,#N/A,FALSE,"Assumptions";#N/A,#N/A,FALSE,"Rent Roll Summary";#N/A,#N/A,FALSE,"Effective Rental Income Detail";#N/A,#N/A,FALSE,"Cash Flow Projections";#N/A,#N/A,FALSE,"Operating Statement";#N/A,#N/A,FALSE,"Pricing Matrix"}</definedName>
    <definedName name="wrn.Partial." localSheetId="29" hidden="1">{#N/A,#N/A,FALSE,"1Summary";#N/A,#N/A,FALSE,"Assumptions";#N/A,#N/A,FALSE,"Rent Roll Summary";#N/A,#N/A,FALSE,"Effective Rental Income Detail";#N/A,#N/A,FALSE,"Cash Flow Projections";#N/A,#N/A,FALSE,"Operating Statement";#N/A,#N/A,FALSE,"Pricing Matrix"}</definedName>
    <definedName name="wrn.Partial." localSheetId="28" hidden="1">{#N/A,#N/A,FALSE,"1Summary";#N/A,#N/A,FALSE,"Assumptions";#N/A,#N/A,FALSE,"Rent Roll Summary";#N/A,#N/A,FALSE,"Effective Rental Income Detail";#N/A,#N/A,FALSE,"Cash Flow Projections";#N/A,#N/A,FALSE,"Operating Statement";#N/A,#N/A,FALSE,"Pricing Matrix"}</definedName>
    <definedName name="wrn.Partial." localSheetId="9" hidden="1">{#N/A,#N/A,FALSE,"1Summary";#N/A,#N/A,FALSE,"Assumptions";#N/A,#N/A,FALSE,"Rent Roll Summary";#N/A,#N/A,FALSE,"Effective Rental Income Detail";#N/A,#N/A,FALSE,"Cash Flow Projections";#N/A,#N/A,FALSE,"Operating Statement";#N/A,#N/A,FALSE,"Pricing Matrix"}</definedName>
    <definedName name="wrn.Partial." localSheetId="10" hidden="1">{#N/A,#N/A,FALSE,"1Summary";#N/A,#N/A,FALSE,"Assumptions";#N/A,#N/A,FALSE,"Rent Roll Summary";#N/A,#N/A,FALSE,"Effective Rental Income Detail";#N/A,#N/A,FALSE,"Cash Flow Projections";#N/A,#N/A,FALSE,"Operating Statement";#N/A,#N/A,FALSE,"Pricing Matrix"}</definedName>
    <definedName name="wrn.Partial." localSheetId="20" hidden="1">{#N/A,#N/A,FALSE,"1Summary";#N/A,#N/A,FALSE,"Assumptions";#N/A,#N/A,FALSE,"Rent Roll Summary";#N/A,#N/A,FALSE,"Effective Rental Income Detail";#N/A,#N/A,FALSE,"Cash Flow Projections";#N/A,#N/A,FALSE,"Operating Statement";#N/A,#N/A,FALSE,"Pricing Matrix"}</definedName>
    <definedName name="wrn.Partial." hidden="1">{#N/A,#N/A,FALSE,"1Summary";#N/A,#N/A,FALSE,"Assumptions";#N/A,#N/A,FALSE,"Rent Roll Summary";#N/A,#N/A,FALSE,"Effective Rental Income Detail";#N/A,#N/A,FALSE,"Cash Flow Projections";#N/A,#N/A,FALSE,"Operating Statement";#N/A,#N/A,FALSE,"Pricing Matrix"}</definedName>
    <definedName name="wrn.Partial_Template." localSheetId="4" hidden="1">{#N/A,#N/A,FALSE,"1Summary";#N/A,#N/A,FALSE,"2Assumptions";#N/A,#N/A,FALSE,"3Cash Flow";#N/A,#N/A,FALSE,"6Residual";#N/A,#N/A,FALSE,"AExpiration Schedule"}</definedName>
    <definedName name="wrn.Partial_Template." localSheetId="3" hidden="1">{#N/A,#N/A,FALSE,"1Summary";#N/A,#N/A,FALSE,"2Assumptions";#N/A,#N/A,FALSE,"3Cash Flow";#N/A,#N/A,FALSE,"6Residual";#N/A,#N/A,FALSE,"AExpiration Schedule"}</definedName>
    <definedName name="wrn.Partial_Template." localSheetId="26" hidden="1">{#N/A,#N/A,FALSE,"1Summary";#N/A,#N/A,FALSE,"2Assumptions";#N/A,#N/A,FALSE,"3Cash Flow";#N/A,#N/A,FALSE,"6Residual";#N/A,#N/A,FALSE,"AExpiration Schedule"}</definedName>
    <definedName name="wrn.Partial_Template." localSheetId="32" hidden="1">{#N/A,#N/A,FALSE,"1Summary";#N/A,#N/A,FALSE,"2Assumptions";#N/A,#N/A,FALSE,"3Cash Flow";#N/A,#N/A,FALSE,"6Residual";#N/A,#N/A,FALSE,"AExpiration Schedule"}</definedName>
    <definedName name="wrn.Partial_Template." localSheetId="6" hidden="1">{#N/A,#N/A,FALSE,"1Summary";#N/A,#N/A,FALSE,"2Assumptions";#N/A,#N/A,FALSE,"3Cash Flow";#N/A,#N/A,FALSE,"6Residual";#N/A,#N/A,FALSE,"AExpiration Schedule"}</definedName>
    <definedName name="wrn.Partial_Template." localSheetId="2" hidden="1">{#N/A,#N/A,FALSE,"1Summary";#N/A,#N/A,FALSE,"2Assumptions";#N/A,#N/A,FALSE,"3Cash Flow";#N/A,#N/A,FALSE,"6Residual";#N/A,#N/A,FALSE,"AExpiration Schedule"}</definedName>
    <definedName name="wrn.Partial_Template." localSheetId="25" hidden="1">{#N/A,#N/A,FALSE,"1Summary";#N/A,#N/A,FALSE,"2Assumptions";#N/A,#N/A,FALSE,"3Cash Flow";#N/A,#N/A,FALSE,"6Residual";#N/A,#N/A,FALSE,"AExpiration Schedule"}</definedName>
    <definedName name="wrn.Partial_Template." localSheetId="7" hidden="1">{#N/A,#N/A,FALSE,"1Summary";#N/A,#N/A,FALSE,"2Assumptions";#N/A,#N/A,FALSE,"3Cash Flow";#N/A,#N/A,FALSE,"6Residual";#N/A,#N/A,FALSE,"AExpiration Schedule"}</definedName>
    <definedName name="wrn.Partial_Template." localSheetId="15" hidden="1">{#N/A,#N/A,FALSE,"1Summary";#N/A,#N/A,FALSE,"2Assumptions";#N/A,#N/A,FALSE,"3Cash Flow";#N/A,#N/A,FALSE,"6Residual";#N/A,#N/A,FALSE,"AExpiration Schedule"}</definedName>
    <definedName name="wrn.Partial_Template." localSheetId="12" hidden="1">{#N/A,#N/A,FALSE,"1Summary";#N/A,#N/A,FALSE,"2Assumptions";#N/A,#N/A,FALSE,"3Cash Flow";#N/A,#N/A,FALSE,"6Residual";#N/A,#N/A,FALSE,"AExpiration Schedule"}</definedName>
    <definedName name="wrn.Partial_Template." localSheetId="11" hidden="1">{#N/A,#N/A,FALSE,"1Summary";#N/A,#N/A,FALSE,"2Assumptions";#N/A,#N/A,FALSE,"3Cash Flow";#N/A,#N/A,FALSE,"6Residual";#N/A,#N/A,FALSE,"AExpiration Schedule"}</definedName>
    <definedName name="wrn.Partial_Template." localSheetId="13" hidden="1">{#N/A,#N/A,FALSE,"1Summary";#N/A,#N/A,FALSE,"2Assumptions";#N/A,#N/A,FALSE,"3Cash Flow";#N/A,#N/A,FALSE,"6Residual";#N/A,#N/A,FALSE,"AExpiration Schedule"}</definedName>
    <definedName name="wrn.Partial_Template." localSheetId="24" hidden="1">{#N/A,#N/A,FALSE,"1Summary";#N/A,#N/A,FALSE,"2Assumptions";#N/A,#N/A,FALSE,"3Cash Flow";#N/A,#N/A,FALSE,"6Residual";#N/A,#N/A,FALSE,"AExpiration Schedule"}</definedName>
    <definedName name="wrn.Partial_Template." localSheetId="27" hidden="1">{#N/A,#N/A,FALSE,"1Summary";#N/A,#N/A,FALSE,"2Assumptions";#N/A,#N/A,FALSE,"3Cash Flow";#N/A,#N/A,FALSE,"6Residual";#N/A,#N/A,FALSE,"AExpiration Schedule"}</definedName>
    <definedName name="wrn.Partial_Template." localSheetId="29" hidden="1">{#N/A,#N/A,FALSE,"1Summary";#N/A,#N/A,FALSE,"2Assumptions";#N/A,#N/A,FALSE,"3Cash Flow";#N/A,#N/A,FALSE,"6Residual";#N/A,#N/A,FALSE,"AExpiration Schedule"}</definedName>
    <definedName name="wrn.Partial_Template." localSheetId="28" hidden="1">{#N/A,#N/A,FALSE,"1Summary";#N/A,#N/A,FALSE,"2Assumptions";#N/A,#N/A,FALSE,"3Cash Flow";#N/A,#N/A,FALSE,"6Residual";#N/A,#N/A,FALSE,"AExpiration Schedule"}</definedName>
    <definedName name="wrn.Partial_Template." localSheetId="9" hidden="1">{#N/A,#N/A,FALSE,"1Summary";#N/A,#N/A,FALSE,"2Assumptions";#N/A,#N/A,FALSE,"3Cash Flow";#N/A,#N/A,FALSE,"6Residual";#N/A,#N/A,FALSE,"AExpiration Schedule"}</definedName>
    <definedName name="wrn.Partial_Template." localSheetId="10" hidden="1">{#N/A,#N/A,FALSE,"1Summary";#N/A,#N/A,FALSE,"2Assumptions";#N/A,#N/A,FALSE,"3Cash Flow";#N/A,#N/A,FALSE,"6Residual";#N/A,#N/A,FALSE,"AExpiration Schedule"}</definedName>
    <definedName name="wrn.Partial_Template." localSheetId="20" hidden="1">{#N/A,#N/A,FALSE,"1Summary";#N/A,#N/A,FALSE,"2Assumptions";#N/A,#N/A,FALSE,"3Cash Flow";#N/A,#N/A,FALSE,"6Residual";#N/A,#N/A,FALSE,"AExpiration Schedule"}</definedName>
    <definedName name="wrn.Partial_Template." hidden="1">{#N/A,#N/A,FALSE,"1Summary";#N/A,#N/A,FALSE,"2Assumptions";#N/A,#N/A,FALSE,"3Cash Flow";#N/A,#N/A,FALSE,"6Residual";#N/A,#N/A,FALSE,"AExpiration Schedule"}</definedName>
    <definedName name="wrn.PERCENTAGE._.RENT." localSheetId="4" hidden="1">{"PERCENTAGE RENT",#N/A,TRUE,"SCHEDULE B"}</definedName>
    <definedName name="wrn.PERCENTAGE._.RENT." localSheetId="3" hidden="1">{"PERCENTAGE RENT",#N/A,TRUE,"SCHEDULE B"}</definedName>
    <definedName name="wrn.PERCENTAGE._.RENT." localSheetId="26" hidden="1">{"PERCENTAGE RENT",#N/A,TRUE,"SCHEDULE B"}</definedName>
    <definedName name="wrn.PERCENTAGE._.RENT." localSheetId="32" hidden="1">{"PERCENTAGE RENT",#N/A,TRUE,"SCHEDULE B"}</definedName>
    <definedName name="wrn.PERCENTAGE._.RENT." localSheetId="6" hidden="1">{"PERCENTAGE RENT",#N/A,TRUE,"SCHEDULE B"}</definedName>
    <definedName name="wrn.PERCENTAGE._.RENT." localSheetId="2" hidden="1">{"PERCENTAGE RENT",#N/A,TRUE,"SCHEDULE B"}</definedName>
    <definedName name="wrn.PERCENTAGE._.RENT." localSheetId="25" hidden="1">{"PERCENTAGE RENT",#N/A,TRUE,"SCHEDULE B"}</definedName>
    <definedName name="wrn.PERCENTAGE._.RENT." localSheetId="7" hidden="1">{"PERCENTAGE RENT",#N/A,TRUE,"SCHEDULE B"}</definedName>
    <definedName name="wrn.PERCENTAGE._.RENT." localSheetId="15" hidden="1">{"PERCENTAGE RENT",#N/A,TRUE,"SCHEDULE B"}</definedName>
    <definedName name="wrn.PERCENTAGE._.RENT." localSheetId="12" hidden="1">{"PERCENTAGE RENT",#N/A,TRUE,"SCHEDULE B"}</definedName>
    <definedName name="wrn.PERCENTAGE._.RENT." localSheetId="11" hidden="1">{"PERCENTAGE RENT",#N/A,TRUE,"SCHEDULE B"}</definedName>
    <definedName name="wrn.PERCENTAGE._.RENT." localSheetId="13" hidden="1">{"PERCENTAGE RENT",#N/A,TRUE,"SCHEDULE B"}</definedName>
    <definedName name="wrn.PERCENTAGE._.RENT." localSheetId="24" hidden="1">{"PERCENTAGE RENT",#N/A,TRUE,"SCHEDULE B"}</definedName>
    <definedName name="wrn.PERCENTAGE._.RENT." localSheetId="27" hidden="1">{"PERCENTAGE RENT",#N/A,TRUE,"SCHEDULE B"}</definedName>
    <definedName name="wrn.PERCENTAGE._.RENT." localSheetId="29" hidden="1">{"PERCENTAGE RENT",#N/A,TRUE,"SCHEDULE B"}</definedName>
    <definedName name="wrn.PERCENTAGE._.RENT." localSheetId="28" hidden="1">{"PERCENTAGE RENT",#N/A,TRUE,"SCHEDULE B"}</definedName>
    <definedName name="wrn.PERCENTAGE._.RENT." localSheetId="9" hidden="1">{"PERCENTAGE RENT",#N/A,TRUE,"SCHEDULE B"}</definedName>
    <definedName name="wrn.PERCENTAGE._.RENT." localSheetId="10" hidden="1">{"PERCENTAGE RENT",#N/A,TRUE,"SCHEDULE B"}</definedName>
    <definedName name="wrn.PERCENTAGE._.RENT." localSheetId="20" hidden="1">{"PERCENTAGE RENT",#N/A,TRUE,"SCHEDULE B"}</definedName>
    <definedName name="wrn.PERCENTAGE._.RENT." hidden="1">{"PERCENTAGE RENT",#N/A,TRUE,"SCHEDULE B"}</definedName>
    <definedName name="wrn.Portfolio." localSheetId="4" hidden="1">{#N/A,#N/A,FALSE,"Portfolio Summary";#N/A,#N/A,FALSE,"Portfolio Operating Stmt";#N/A,#N/A,FALSE,"Portfolio Cash Flow"}</definedName>
    <definedName name="wrn.Portfolio." localSheetId="3" hidden="1">{#N/A,#N/A,FALSE,"Portfolio Summary";#N/A,#N/A,FALSE,"Portfolio Operating Stmt";#N/A,#N/A,FALSE,"Portfolio Cash Flow"}</definedName>
    <definedName name="wrn.Portfolio." localSheetId="26" hidden="1">{#N/A,#N/A,FALSE,"Portfolio Summary";#N/A,#N/A,FALSE,"Portfolio Operating Stmt";#N/A,#N/A,FALSE,"Portfolio Cash Flow"}</definedName>
    <definedName name="wrn.Portfolio." localSheetId="32" hidden="1">{#N/A,#N/A,FALSE,"Portfolio Summary";#N/A,#N/A,FALSE,"Portfolio Operating Stmt";#N/A,#N/A,FALSE,"Portfolio Cash Flow"}</definedName>
    <definedName name="wrn.Portfolio." localSheetId="6" hidden="1">{#N/A,#N/A,FALSE,"Portfolio Summary";#N/A,#N/A,FALSE,"Portfolio Operating Stmt";#N/A,#N/A,FALSE,"Portfolio Cash Flow"}</definedName>
    <definedName name="wrn.Portfolio." localSheetId="2" hidden="1">{#N/A,#N/A,FALSE,"Portfolio Summary";#N/A,#N/A,FALSE,"Portfolio Operating Stmt";#N/A,#N/A,FALSE,"Portfolio Cash Flow"}</definedName>
    <definedName name="wrn.Portfolio." localSheetId="25" hidden="1">{#N/A,#N/A,FALSE,"Portfolio Summary";#N/A,#N/A,FALSE,"Portfolio Operating Stmt";#N/A,#N/A,FALSE,"Portfolio Cash Flow"}</definedName>
    <definedName name="wrn.Portfolio." localSheetId="7" hidden="1">{#N/A,#N/A,FALSE,"Portfolio Summary";#N/A,#N/A,FALSE,"Portfolio Operating Stmt";#N/A,#N/A,FALSE,"Portfolio Cash Flow"}</definedName>
    <definedName name="wrn.Portfolio." localSheetId="15" hidden="1">{#N/A,#N/A,FALSE,"Portfolio Summary";#N/A,#N/A,FALSE,"Portfolio Operating Stmt";#N/A,#N/A,FALSE,"Portfolio Cash Flow"}</definedName>
    <definedName name="wrn.Portfolio." localSheetId="12" hidden="1">{#N/A,#N/A,FALSE,"Portfolio Summary";#N/A,#N/A,FALSE,"Portfolio Operating Stmt";#N/A,#N/A,FALSE,"Portfolio Cash Flow"}</definedName>
    <definedName name="wrn.Portfolio." localSheetId="11" hidden="1">{#N/A,#N/A,FALSE,"Portfolio Summary";#N/A,#N/A,FALSE,"Portfolio Operating Stmt";#N/A,#N/A,FALSE,"Portfolio Cash Flow"}</definedName>
    <definedName name="wrn.Portfolio." localSheetId="13" hidden="1">{#N/A,#N/A,FALSE,"Portfolio Summary";#N/A,#N/A,FALSE,"Portfolio Operating Stmt";#N/A,#N/A,FALSE,"Portfolio Cash Flow"}</definedName>
    <definedName name="wrn.Portfolio." localSheetId="24" hidden="1">{#N/A,#N/A,FALSE,"Portfolio Summary";#N/A,#N/A,FALSE,"Portfolio Operating Stmt";#N/A,#N/A,FALSE,"Portfolio Cash Flow"}</definedName>
    <definedName name="wrn.Portfolio." localSheetId="27" hidden="1">{#N/A,#N/A,FALSE,"Portfolio Summary";#N/A,#N/A,FALSE,"Portfolio Operating Stmt";#N/A,#N/A,FALSE,"Portfolio Cash Flow"}</definedName>
    <definedName name="wrn.Portfolio." localSheetId="29" hidden="1">{#N/A,#N/A,FALSE,"Portfolio Summary";#N/A,#N/A,FALSE,"Portfolio Operating Stmt";#N/A,#N/A,FALSE,"Portfolio Cash Flow"}</definedName>
    <definedName name="wrn.Portfolio." localSheetId="28" hidden="1">{#N/A,#N/A,FALSE,"Portfolio Summary";#N/A,#N/A,FALSE,"Portfolio Operating Stmt";#N/A,#N/A,FALSE,"Portfolio Cash Flow"}</definedName>
    <definedName name="wrn.Portfolio." localSheetId="9" hidden="1">{#N/A,#N/A,FALSE,"Portfolio Summary";#N/A,#N/A,FALSE,"Portfolio Operating Stmt";#N/A,#N/A,FALSE,"Portfolio Cash Flow"}</definedName>
    <definedName name="wrn.Portfolio." localSheetId="10" hidden="1">{#N/A,#N/A,FALSE,"Portfolio Summary";#N/A,#N/A,FALSE,"Portfolio Operating Stmt";#N/A,#N/A,FALSE,"Portfolio Cash Flow"}</definedName>
    <definedName name="wrn.Portfolio." localSheetId="20" hidden="1">{#N/A,#N/A,FALSE,"Portfolio Summary";#N/A,#N/A,FALSE,"Portfolio Operating Stmt";#N/A,#N/A,FALSE,"Portfolio Cash Flow"}</definedName>
    <definedName name="wrn.Portfolio." hidden="1">{#N/A,#N/A,FALSE,"Portfolio Summary";#N/A,#N/A,FALSE,"Portfolio Operating Stmt";#N/A,#N/A,FALSE,"Portfolio Cash Flow"}</definedName>
    <definedName name="wrn.RATES." localSheetId="4" hidden="1">{"RATES",#N/A,FALSE,"RECOVERY RATES";"CONTRIBUTIONS",#N/A,FALSE,"RECOVERY RATES";"GLA CATEGORY SUMMARY",#N/A,FALSE,"RECOVERY RATES"}</definedName>
    <definedName name="wrn.RATES." localSheetId="3" hidden="1">{"RATES",#N/A,FALSE,"RECOVERY RATES";"CONTRIBUTIONS",#N/A,FALSE,"RECOVERY RATES";"GLA CATEGORY SUMMARY",#N/A,FALSE,"RECOVERY RATES"}</definedName>
    <definedName name="wrn.RATES." localSheetId="26" hidden="1">{"RATES",#N/A,FALSE,"RECOVERY RATES";"CONTRIBUTIONS",#N/A,FALSE,"RECOVERY RATES";"GLA CATEGORY SUMMARY",#N/A,FALSE,"RECOVERY RATES"}</definedName>
    <definedName name="wrn.RATES." localSheetId="32" hidden="1">{"RATES",#N/A,FALSE,"RECOVERY RATES";"CONTRIBUTIONS",#N/A,FALSE,"RECOVERY RATES";"GLA CATEGORY SUMMARY",#N/A,FALSE,"RECOVERY RATES"}</definedName>
    <definedName name="wrn.RATES." localSheetId="6" hidden="1">{"RATES",#N/A,FALSE,"RECOVERY RATES";"CONTRIBUTIONS",#N/A,FALSE,"RECOVERY RATES";"GLA CATEGORY SUMMARY",#N/A,FALSE,"RECOVERY RATES"}</definedName>
    <definedName name="wrn.RATES." localSheetId="2" hidden="1">{"RATES",#N/A,FALSE,"RECOVERY RATES";"CONTRIBUTIONS",#N/A,FALSE,"RECOVERY RATES";"GLA CATEGORY SUMMARY",#N/A,FALSE,"RECOVERY RATES"}</definedName>
    <definedName name="wrn.RATES." localSheetId="25" hidden="1">{"RATES",#N/A,FALSE,"RECOVERY RATES";"CONTRIBUTIONS",#N/A,FALSE,"RECOVERY RATES";"GLA CATEGORY SUMMARY",#N/A,FALSE,"RECOVERY RATES"}</definedName>
    <definedName name="wrn.RATES." localSheetId="7" hidden="1">{"RATES",#N/A,FALSE,"RECOVERY RATES";"CONTRIBUTIONS",#N/A,FALSE,"RECOVERY RATES";"GLA CATEGORY SUMMARY",#N/A,FALSE,"RECOVERY RATES"}</definedName>
    <definedName name="wrn.RATES." localSheetId="15" hidden="1">{"RATES",#N/A,FALSE,"RECOVERY RATES";"CONTRIBUTIONS",#N/A,FALSE,"RECOVERY RATES";"GLA CATEGORY SUMMARY",#N/A,FALSE,"RECOVERY RATES"}</definedName>
    <definedName name="wrn.RATES." localSheetId="12" hidden="1">{"RATES",#N/A,FALSE,"RECOVERY RATES";"CONTRIBUTIONS",#N/A,FALSE,"RECOVERY RATES";"GLA CATEGORY SUMMARY",#N/A,FALSE,"RECOVERY RATES"}</definedName>
    <definedName name="wrn.RATES." localSheetId="11" hidden="1">{"RATES",#N/A,FALSE,"RECOVERY RATES";"CONTRIBUTIONS",#N/A,FALSE,"RECOVERY RATES";"GLA CATEGORY SUMMARY",#N/A,FALSE,"RECOVERY RATES"}</definedName>
    <definedName name="wrn.RATES." localSheetId="13" hidden="1">{"RATES",#N/A,FALSE,"RECOVERY RATES";"CONTRIBUTIONS",#N/A,FALSE,"RECOVERY RATES";"GLA CATEGORY SUMMARY",#N/A,FALSE,"RECOVERY RATES"}</definedName>
    <definedName name="wrn.RATES." localSheetId="24" hidden="1">{"RATES",#N/A,FALSE,"RECOVERY RATES";"CONTRIBUTIONS",#N/A,FALSE,"RECOVERY RATES";"GLA CATEGORY SUMMARY",#N/A,FALSE,"RECOVERY RATES"}</definedName>
    <definedName name="wrn.RATES." localSheetId="27" hidden="1">{"RATES",#N/A,FALSE,"RECOVERY RATES";"CONTRIBUTIONS",#N/A,FALSE,"RECOVERY RATES";"GLA CATEGORY SUMMARY",#N/A,FALSE,"RECOVERY RATES"}</definedName>
    <definedName name="wrn.RATES." localSheetId="29" hidden="1">{"RATES",#N/A,FALSE,"RECOVERY RATES";"CONTRIBUTIONS",#N/A,FALSE,"RECOVERY RATES";"GLA CATEGORY SUMMARY",#N/A,FALSE,"RECOVERY RATES"}</definedName>
    <definedName name="wrn.RATES." localSheetId="28" hidden="1">{"RATES",#N/A,FALSE,"RECOVERY RATES";"CONTRIBUTIONS",#N/A,FALSE,"RECOVERY RATES";"GLA CATEGORY SUMMARY",#N/A,FALSE,"RECOVERY RATES"}</definedName>
    <definedName name="wrn.RATES." localSheetId="9" hidden="1">{"RATES",#N/A,FALSE,"RECOVERY RATES";"CONTRIBUTIONS",#N/A,FALSE,"RECOVERY RATES";"GLA CATEGORY SUMMARY",#N/A,FALSE,"RECOVERY RATES"}</definedName>
    <definedName name="wrn.RATES." localSheetId="10" hidden="1">{"RATES",#N/A,FALSE,"RECOVERY RATES";"CONTRIBUTIONS",#N/A,FALSE,"RECOVERY RATES";"GLA CATEGORY SUMMARY",#N/A,FALSE,"RECOVERY RATES"}</definedName>
    <definedName name="wrn.RATES." localSheetId="20" hidden="1">{"RATES",#N/A,FALSE,"RECOVERY RATES";"CONTRIBUTIONS",#N/A,FALSE,"RECOVERY RATES";"GLA CATEGORY SUMMARY",#N/A,FALSE,"RECOVERY RATES"}</definedName>
    <definedName name="wrn.RATES." hidden="1">{"RATES",#N/A,FALSE,"RECOVERY RATES";"CONTRIBUTIONS",#N/A,FALSE,"RECOVERY RATES";"GLA CATEGORY SUMMARY",#N/A,FALSE,"RECOVERY RATES"}</definedName>
    <definedName name="wrn.SCHAs." localSheetId="4" hidden="1">{"ACCOUNTING COPY",#N/A,FALSE,"SCHEDULE A";"FINANCE COPY",#N/A,FALSE,"SCHEDULE A";"P.L. COPY",#N/A,FALSE,"SCHEDULE A"}</definedName>
    <definedName name="wrn.SCHAs." localSheetId="3" hidden="1">{"ACCOUNTING COPY",#N/A,FALSE,"SCHEDULE A";"FINANCE COPY",#N/A,FALSE,"SCHEDULE A";"P.L. COPY",#N/A,FALSE,"SCHEDULE A"}</definedName>
    <definedName name="wrn.SCHAs." localSheetId="26" hidden="1">{"ACCOUNTING COPY",#N/A,FALSE,"SCHEDULE A";"FINANCE COPY",#N/A,FALSE,"SCHEDULE A";"P.L. COPY",#N/A,FALSE,"SCHEDULE A"}</definedName>
    <definedName name="wrn.SCHAs." localSheetId="32" hidden="1">{"ACCOUNTING COPY",#N/A,FALSE,"SCHEDULE A";"FINANCE COPY",#N/A,FALSE,"SCHEDULE A";"P.L. COPY",#N/A,FALSE,"SCHEDULE A"}</definedName>
    <definedName name="wrn.SCHAs." localSheetId="6" hidden="1">{"ACCOUNTING COPY",#N/A,FALSE,"SCHEDULE A";"FINANCE COPY",#N/A,FALSE,"SCHEDULE A";"P.L. COPY",#N/A,FALSE,"SCHEDULE A"}</definedName>
    <definedName name="wrn.SCHAs." localSheetId="2" hidden="1">{"ACCOUNTING COPY",#N/A,FALSE,"SCHEDULE A";"FINANCE COPY",#N/A,FALSE,"SCHEDULE A";"P.L. COPY",#N/A,FALSE,"SCHEDULE A"}</definedName>
    <definedName name="wrn.SCHAs." localSheetId="25" hidden="1">{"ACCOUNTING COPY",#N/A,FALSE,"SCHEDULE A";"FINANCE COPY",#N/A,FALSE,"SCHEDULE A";"P.L. COPY",#N/A,FALSE,"SCHEDULE A"}</definedName>
    <definedName name="wrn.SCHAs." localSheetId="7" hidden="1">{"ACCOUNTING COPY",#N/A,FALSE,"SCHEDULE A";"FINANCE COPY",#N/A,FALSE,"SCHEDULE A";"P.L. COPY",#N/A,FALSE,"SCHEDULE A"}</definedName>
    <definedName name="wrn.SCHAs." localSheetId="15" hidden="1">{"ACCOUNTING COPY",#N/A,FALSE,"SCHEDULE A";"FINANCE COPY",#N/A,FALSE,"SCHEDULE A";"P.L. COPY",#N/A,FALSE,"SCHEDULE A"}</definedName>
    <definedName name="wrn.SCHAs." localSheetId="12" hidden="1">{"ACCOUNTING COPY",#N/A,FALSE,"SCHEDULE A";"FINANCE COPY",#N/A,FALSE,"SCHEDULE A";"P.L. COPY",#N/A,FALSE,"SCHEDULE A"}</definedName>
    <definedName name="wrn.SCHAs." localSheetId="11" hidden="1">{"ACCOUNTING COPY",#N/A,FALSE,"SCHEDULE A";"FINANCE COPY",#N/A,FALSE,"SCHEDULE A";"P.L. COPY",#N/A,FALSE,"SCHEDULE A"}</definedName>
    <definedName name="wrn.SCHAs." localSheetId="13" hidden="1">{"ACCOUNTING COPY",#N/A,FALSE,"SCHEDULE A";"FINANCE COPY",#N/A,FALSE,"SCHEDULE A";"P.L. COPY",#N/A,FALSE,"SCHEDULE A"}</definedName>
    <definedName name="wrn.SCHAs." localSheetId="24" hidden="1">{"ACCOUNTING COPY",#N/A,FALSE,"SCHEDULE A";"FINANCE COPY",#N/A,FALSE,"SCHEDULE A";"P.L. COPY",#N/A,FALSE,"SCHEDULE A"}</definedName>
    <definedName name="wrn.SCHAs." localSheetId="27" hidden="1">{"ACCOUNTING COPY",#N/A,FALSE,"SCHEDULE A";"FINANCE COPY",#N/A,FALSE,"SCHEDULE A";"P.L. COPY",#N/A,FALSE,"SCHEDULE A"}</definedName>
    <definedName name="wrn.SCHAs." localSheetId="29" hidden="1">{"ACCOUNTING COPY",#N/A,FALSE,"SCHEDULE A";"FINANCE COPY",#N/A,FALSE,"SCHEDULE A";"P.L. COPY",#N/A,FALSE,"SCHEDULE A"}</definedName>
    <definedName name="wrn.SCHAs." localSheetId="28" hidden="1">{"ACCOUNTING COPY",#N/A,FALSE,"SCHEDULE A";"FINANCE COPY",#N/A,FALSE,"SCHEDULE A";"P.L. COPY",#N/A,FALSE,"SCHEDULE A"}</definedName>
    <definedName name="wrn.SCHAs." localSheetId="9" hidden="1">{"ACCOUNTING COPY",#N/A,FALSE,"SCHEDULE A";"FINANCE COPY",#N/A,FALSE,"SCHEDULE A";"P.L. COPY",#N/A,FALSE,"SCHEDULE A"}</definedName>
    <definedName name="wrn.SCHAs." localSheetId="10" hidden="1">{"ACCOUNTING COPY",#N/A,FALSE,"SCHEDULE A";"FINANCE COPY",#N/A,FALSE,"SCHEDULE A";"P.L. COPY",#N/A,FALSE,"SCHEDULE A"}</definedName>
    <definedName name="wrn.SCHAs." localSheetId="20" hidden="1">{"ACCOUNTING COPY",#N/A,FALSE,"SCHEDULE A";"FINANCE COPY",#N/A,FALSE,"SCHEDULE A";"P.L. COPY",#N/A,FALSE,"SCHEDULE A"}</definedName>
    <definedName name="wrn.SCHAs." hidden="1">{"ACCOUNTING COPY",#N/A,FALSE,"SCHEDULE A";"FINANCE COPY",#N/A,FALSE,"SCHEDULE A";"P.L. COPY",#N/A,FALSE,"SCHEDULE A"}</definedName>
    <definedName name="wrn.SCHEDULES._.ABC." localSheetId="4" hidden="1">{#N/A,#N/A,FALSE,"SCHEDULE A";"MINIMUM RENT",#N/A,FALSE,"SCHEDULES B &amp; C";"PERCENTAGE RENT",#N/A,FALSE,"SCHEDULES B &amp; C"}</definedName>
    <definedName name="wrn.SCHEDULES._.ABC." localSheetId="3" hidden="1">{#N/A,#N/A,FALSE,"SCHEDULE A";"MINIMUM RENT",#N/A,FALSE,"SCHEDULES B &amp; C";"PERCENTAGE RENT",#N/A,FALSE,"SCHEDULES B &amp; C"}</definedName>
    <definedName name="wrn.SCHEDULES._.ABC." localSheetId="26" hidden="1">{#N/A,#N/A,FALSE,"SCHEDULE A";"MINIMUM RENT",#N/A,FALSE,"SCHEDULES B &amp; C";"PERCENTAGE RENT",#N/A,FALSE,"SCHEDULES B &amp; C"}</definedName>
    <definedName name="wrn.SCHEDULES._.ABC." localSheetId="32" hidden="1">{#N/A,#N/A,FALSE,"SCHEDULE A";"MINIMUM RENT",#N/A,FALSE,"SCHEDULES B &amp; C";"PERCENTAGE RENT",#N/A,FALSE,"SCHEDULES B &amp; C"}</definedName>
    <definedName name="wrn.SCHEDULES._.ABC." localSheetId="6" hidden="1">{#N/A,#N/A,FALSE,"SCHEDULE A";"MINIMUM RENT",#N/A,FALSE,"SCHEDULES B &amp; C";"PERCENTAGE RENT",#N/A,FALSE,"SCHEDULES B &amp; C"}</definedName>
    <definedName name="wrn.SCHEDULES._.ABC." localSheetId="2" hidden="1">{#N/A,#N/A,FALSE,"SCHEDULE A";"MINIMUM RENT",#N/A,FALSE,"SCHEDULES B &amp; C";"PERCENTAGE RENT",#N/A,FALSE,"SCHEDULES B &amp; C"}</definedName>
    <definedName name="wrn.SCHEDULES._.ABC." localSheetId="25" hidden="1">{#N/A,#N/A,FALSE,"SCHEDULE A";"MINIMUM RENT",#N/A,FALSE,"SCHEDULES B &amp; C";"PERCENTAGE RENT",#N/A,FALSE,"SCHEDULES B &amp; C"}</definedName>
    <definedName name="wrn.SCHEDULES._.ABC." localSheetId="7" hidden="1">{#N/A,#N/A,FALSE,"SCHEDULE A";"MINIMUM RENT",#N/A,FALSE,"SCHEDULES B &amp; C";"PERCENTAGE RENT",#N/A,FALSE,"SCHEDULES B &amp; C"}</definedName>
    <definedName name="wrn.SCHEDULES._.ABC." localSheetId="15" hidden="1">{#N/A,#N/A,FALSE,"SCHEDULE A";"MINIMUM RENT",#N/A,FALSE,"SCHEDULES B &amp; C";"PERCENTAGE RENT",#N/A,FALSE,"SCHEDULES B &amp; C"}</definedName>
    <definedName name="wrn.SCHEDULES._.ABC." localSheetId="12" hidden="1">{#N/A,#N/A,FALSE,"SCHEDULE A";"MINIMUM RENT",#N/A,FALSE,"SCHEDULES B &amp; C";"PERCENTAGE RENT",#N/A,FALSE,"SCHEDULES B &amp; C"}</definedName>
    <definedName name="wrn.SCHEDULES._.ABC." localSheetId="11" hidden="1">{#N/A,#N/A,FALSE,"SCHEDULE A";"MINIMUM RENT",#N/A,FALSE,"SCHEDULES B &amp; C";"PERCENTAGE RENT",#N/A,FALSE,"SCHEDULES B &amp; C"}</definedName>
    <definedName name="wrn.SCHEDULES._.ABC." localSheetId="13" hidden="1">{#N/A,#N/A,FALSE,"SCHEDULE A";"MINIMUM RENT",#N/A,FALSE,"SCHEDULES B &amp; C";"PERCENTAGE RENT",#N/A,FALSE,"SCHEDULES B &amp; C"}</definedName>
    <definedName name="wrn.SCHEDULES._.ABC." localSheetId="24" hidden="1">{#N/A,#N/A,FALSE,"SCHEDULE A";"MINIMUM RENT",#N/A,FALSE,"SCHEDULES B &amp; C";"PERCENTAGE RENT",#N/A,FALSE,"SCHEDULES B &amp; C"}</definedName>
    <definedName name="wrn.SCHEDULES._.ABC." localSheetId="27" hidden="1">{#N/A,#N/A,FALSE,"SCHEDULE A";"MINIMUM RENT",#N/A,FALSE,"SCHEDULES B &amp; C";"PERCENTAGE RENT",#N/A,FALSE,"SCHEDULES B &amp; C"}</definedName>
    <definedName name="wrn.SCHEDULES._.ABC." localSheetId="29" hidden="1">{#N/A,#N/A,FALSE,"SCHEDULE A";"MINIMUM RENT",#N/A,FALSE,"SCHEDULES B &amp; C";"PERCENTAGE RENT",#N/A,FALSE,"SCHEDULES B &amp; C"}</definedName>
    <definedName name="wrn.SCHEDULES._.ABC." localSheetId="28" hidden="1">{#N/A,#N/A,FALSE,"SCHEDULE A";"MINIMUM RENT",#N/A,FALSE,"SCHEDULES B &amp; C";"PERCENTAGE RENT",#N/A,FALSE,"SCHEDULES B &amp; C"}</definedName>
    <definedName name="wrn.SCHEDULES._.ABC." localSheetId="9" hidden="1">{#N/A,#N/A,FALSE,"SCHEDULE A";"MINIMUM RENT",#N/A,FALSE,"SCHEDULES B &amp; C";"PERCENTAGE RENT",#N/A,FALSE,"SCHEDULES B &amp; C"}</definedName>
    <definedName name="wrn.SCHEDULES._.ABC." localSheetId="10" hidden="1">{#N/A,#N/A,FALSE,"SCHEDULE A";"MINIMUM RENT",#N/A,FALSE,"SCHEDULES B &amp; C";"PERCENTAGE RENT",#N/A,FALSE,"SCHEDULES B &amp; C"}</definedName>
    <definedName name="wrn.SCHEDULES._.ABC." localSheetId="20" hidden="1">{#N/A,#N/A,FALSE,"SCHEDULE A";"MINIMUM RENT",#N/A,FALSE,"SCHEDULES B &amp; C";"PERCENTAGE RENT",#N/A,FALSE,"SCHEDULES B &amp; C"}</definedName>
    <definedName name="wrn.SCHEDULES._.ABC." hidden="1">{#N/A,#N/A,FALSE,"SCHEDULE A";"MINIMUM RENT",#N/A,FALSE,"SCHEDULES B &amp; C";"PERCENTAGE RENT",#N/A,FALSE,"SCHEDULES B &amp; C"}</definedName>
    <definedName name="wrn.TEST." localSheetId="4" hidden="1">{#N/A,#N/A,FALSE,"SCHEDULE G"}</definedName>
    <definedName name="wrn.TEST." localSheetId="3" hidden="1">{#N/A,#N/A,FALSE,"SCHEDULE G"}</definedName>
    <definedName name="wrn.TEST." localSheetId="26" hidden="1">{#N/A,#N/A,FALSE,"SCHEDULE G"}</definedName>
    <definedName name="wrn.TEST." localSheetId="32" hidden="1">{#N/A,#N/A,FALSE,"SCHEDULE G"}</definedName>
    <definedName name="wrn.TEST." localSheetId="6" hidden="1">{#N/A,#N/A,FALSE,"SCHEDULE G"}</definedName>
    <definedName name="wrn.TEST." localSheetId="2" hidden="1">{#N/A,#N/A,FALSE,"SCHEDULE G"}</definedName>
    <definedName name="wrn.TEST." localSheetId="25" hidden="1">{#N/A,#N/A,FALSE,"SCHEDULE G"}</definedName>
    <definedName name="wrn.TEST." localSheetId="7" hidden="1">{#N/A,#N/A,FALSE,"SCHEDULE G"}</definedName>
    <definedName name="wrn.TEST." localSheetId="15" hidden="1">{#N/A,#N/A,FALSE,"SCHEDULE G"}</definedName>
    <definedName name="wrn.TEST." localSheetId="12" hidden="1">{#N/A,#N/A,FALSE,"SCHEDULE G"}</definedName>
    <definedName name="wrn.TEST." localSheetId="11" hidden="1">{#N/A,#N/A,FALSE,"SCHEDULE G"}</definedName>
    <definedName name="wrn.TEST." localSheetId="13" hidden="1">{#N/A,#N/A,FALSE,"SCHEDULE G"}</definedName>
    <definedName name="wrn.TEST." localSheetId="24" hidden="1">{#N/A,#N/A,FALSE,"SCHEDULE G"}</definedName>
    <definedName name="wrn.TEST." localSheetId="27" hidden="1">{#N/A,#N/A,FALSE,"SCHEDULE G"}</definedName>
    <definedName name="wrn.TEST." localSheetId="29" hidden="1">{#N/A,#N/A,FALSE,"SCHEDULE G"}</definedName>
    <definedName name="wrn.TEST." localSheetId="28" hidden="1">{#N/A,#N/A,FALSE,"SCHEDULE G"}</definedName>
    <definedName name="wrn.TEST." localSheetId="9" hidden="1">{#N/A,#N/A,FALSE,"SCHEDULE G"}</definedName>
    <definedName name="wrn.TEST." localSheetId="10" hidden="1">{#N/A,#N/A,FALSE,"SCHEDULE G"}</definedName>
    <definedName name="wrn.TEST." localSheetId="20" hidden="1">{#N/A,#N/A,FALSE,"SCHEDULE G"}</definedName>
    <definedName name="wrn.TEST." hidden="1">{#N/A,#N/A,FALSE,"SCHEDULE G"}</definedName>
    <definedName name="wrn.valuation." localSheetId="4" hidden="1">{"Page1",#N/A,FALSE,"7979";"Page2",#N/A,FALSE,"7979";"Page3",#N/A,FALSE,"7979"}</definedName>
    <definedName name="wrn.valuation." localSheetId="3" hidden="1">{"Page1",#N/A,FALSE,"7979";"Page2",#N/A,FALSE,"7979";"Page3",#N/A,FALSE,"7979"}</definedName>
    <definedName name="wrn.valuation." localSheetId="26" hidden="1">{"Page1",#N/A,FALSE,"7979";"Page2",#N/A,FALSE,"7979";"Page3",#N/A,FALSE,"7979"}</definedName>
    <definedName name="wrn.valuation." localSheetId="32" hidden="1">{"Page1",#N/A,FALSE,"7979";"Page2",#N/A,FALSE,"7979";"Page3",#N/A,FALSE,"7979"}</definedName>
    <definedName name="wrn.valuation." localSheetId="6" hidden="1">{"Page1",#N/A,FALSE,"7979";"Page2",#N/A,FALSE,"7979";"Page3",#N/A,FALSE,"7979"}</definedName>
    <definedName name="wrn.valuation." localSheetId="2" hidden="1">{"Page1",#N/A,FALSE,"7979";"Page2",#N/A,FALSE,"7979";"Page3",#N/A,FALSE,"7979"}</definedName>
    <definedName name="wrn.valuation." localSheetId="25" hidden="1">{"Page1",#N/A,FALSE,"7979";"Page2",#N/A,FALSE,"7979";"Page3",#N/A,FALSE,"7979"}</definedName>
    <definedName name="wrn.valuation." localSheetId="7" hidden="1">{"Page1",#N/A,FALSE,"7979";"Page2",#N/A,FALSE,"7979";"Page3",#N/A,FALSE,"7979"}</definedName>
    <definedName name="wrn.valuation." localSheetId="15" hidden="1">{"Page1",#N/A,FALSE,"7979";"Page2",#N/A,FALSE,"7979";"Page3",#N/A,FALSE,"7979"}</definedName>
    <definedName name="wrn.valuation." localSheetId="12" hidden="1">{"Page1",#N/A,FALSE,"7979";"Page2",#N/A,FALSE,"7979";"Page3",#N/A,FALSE,"7979"}</definedName>
    <definedName name="wrn.valuation." localSheetId="11" hidden="1">{"Page1",#N/A,FALSE,"7979";"Page2",#N/A,FALSE,"7979";"Page3",#N/A,FALSE,"7979"}</definedName>
    <definedName name="wrn.valuation." localSheetId="13" hidden="1">{"Page1",#N/A,FALSE,"7979";"Page2",#N/A,FALSE,"7979";"Page3",#N/A,FALSE,"7979"}</definedName>
    <definedName name="wrn.valuation." localSheetId="24" hidden="1">{"Page1",#N/A,FALSE,"7979";"Page2",#N/A,FALSE,"7979";"Page3",#N/A,FALSE,"7979"}</definedName>
    <definedName name="wrn.valuation." localSheetId="27" hidden="1">{"Page1",#N/A,FALSE,"7979";"Page2",#N/A,FALSE,"7979";"Page3",#N/A,FALSE,"7979"}</definedName>
    <definedName name="wrn.valuation." localSheetId="29" hidden="1">{"Page1",#N/A,FALSE,"7979";"Page2",#N/A,FALSE,"7979";"Page3",#N/A,FALSE,"7979"}</definedName>
    <definedName name="wrn.valuation." localSheetId="28" hidden="1">{"Page1",#N/A,FALSE,"7979";"Page2",#N/A,FALSE,"7979";"Page3",#N/A,FALSE,"7979"}</definedName>
    <definedName name="wrn.valuation." localSheetId="9" hidden="1">{"Page1",#N/A,FALSE,"7979";"Page2",#N/A,FALSE,"7979";"Page3",#N/A,FALSE,"7979"}</definedName>
    <definedName name="wrn.valuation." localSheetId="10" hidden="1">{"Page1",#N/A,FALSE,"7979";"Page2",#N/A,FALSE,"7979";"Page3",#N/A,FALSE,"7979"}</definedName>
    <definedName name="wrn.valuation." localSheetId="20" hidden="1">{"Page1",#N/A,FALSE,"7979";"Page2",#N/A,FALSE,"7979";"Page3",#N/A,FALSE,"7979"}</definedName>
    <definedName name="wrn.valuation." hidden="1">{"Page1",#N/A,FALSE,"7979";"Page2",#N/A,FALSE,"7979";"Page3",#N/A,FALSE,"7979"}</definedName>
    <definedName name="Year1VacancyCell" localSheetId="6">Data!#REF!</definedName>
    <definedName name="YearBuiltCell">Data!$D$40</definedName>
    <definedName name="Yr1Tax">'Operating Statement'!$Q$24</definedName>
    <definedName name="Z_69C84A1D_9653_40D8_9937_75AC608041E0_.wvu.Cols" localSheetId="26" hidden="1">'Cash Flow'!$D:$D</definedName>
    <definedName name="Z_69C84A1D_9653_40D8_9937_75AC608041E0_.wvu.PrintArea" localSheetId="26" hidden="1">'Cash Flow'!$B$2:$R$48</definedName>
    <definedName name="Z_69C84A1D_9653_40D8_9937_75AC608041E0_.wvu.PrintArea" localSheetId="25" hidden="1">'Growth Rates'!$B$3:$N$23</definedName>
    <definedName name="Z_69C84A1D_9653_40D8_9937_75AC608041E0_.wvu.PrintArea" localSheetId="15" hidden="1">Input!$A$4:$B$32</definedName>
    <definedName name="Z_69C84A1D_9653_40D8_9937_75AC608041E0_.wvu.PrintArea" localSheetId="12" hidden="1">Notes!$B$3:$E$37</definedName>
    <definedName name="Z_69C84A1D_9653_40D8_9937_75AC608041E0_.wvu.PrintArea" localSheetId="11" hidden="1">'Operating Statement'!$B$2:$Y$47</definedName>
    <definedName name="Z_69C84A1D_9653_40D8_9937_75AC608041E0_.wvu.PrintArea" localSheetId="13" hidden="1">'Pricing Detail'!$B$3:$R$46</definedName>
    <definedName name="Z_69C84A1D_9653_40D8_9937_75AC608041E0_.wvu.PrintArea" localSheetId="24" hidden="1">'Pricing Detail (UP)'!$B$3:$R$46</definedName>
    <definedName name="Z_69C84A1D_9653_40D8_9937_75AC608041E0_.wvu.PrintArea" localSheetId="27" hidden="1">'Proposal Price'!$B$2:$S$42</definedName>
    <definedName name="Z_69C84A1D_9653_40D8_9937_75AC608041E0_.wvu.PrintArea" localSheetId="29" hidden="1">'Proposal Price IRR'!$C$3:$T$37</definedName>
    <definedName name="Z_69C84A1D_9653_40D8_9937_75AC608041E0_.wvu.PrintArea" localSheetId="28" hidden="1">'Proposal Price IRR Unlevered'!$C$3:$S$34</definedName>
    <definedName name="Z_69C84A1D_9653_40D8_9937_75AC608041E0_.wvu.PrintArea" localSheetId="9" hidden="1">'Rent Roll Detail'!$B$2:$J$184</definedName>
    <definedName name="Z_69C84A1D_9653_40D8_9937_75AC608041E0_.wvu.PrintArea" localSheetId="10" hidden="1">'Rent Roll Summary'!$B$2:$M$52</definedName>
    <definedName name="Z_69C84A1D_9653_40D8_9937_75AC608041E0_.wvu.PrintArea" localSheetId="20" hidden="1">'Rent Roll Summary Input'!$B$145:$N$147</definedName>
  </definedNames>
  <calcPr calcId="191028"/>
  <customWorkbookViews>
    <customWorkbookView name="McCann, Rick - Personal View" guid="{69C84A1D-9653-40D8-9937-75AC608041E0}" mergeInterval="0" personalView="1" maximized="1" windowWidth="1280" windowHeight="814" tabRatio="922"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5" i="26" l="1"/>
  <c r="O37" i="26"/>
  <c r="Q22" i="25"/>
  <c r="Q23" i="25"/>
  <c r="Q24" i="25"/>
  <c r="Q25" i="25"/>
  <c r="Q26" i="25"/>
  <c r="Q27" i="25"/>
  <c r="Q28" i="25"/>
  <c r="Q29" i="25"/>
  <c r="Q30" i="25"/>
  <c r="Q31" i="25"/>
  <c r="Q32" i="25"/>
  <c r="Q33" i="25"/>
  <c r="N24" i="25"/>
  <c r="N25" i="25"/>
  <c r="N26" i="25"/>
  <c r="N28" i="25"/>
  <c r="N29" i="25"/>
  <c r="N30" i="25"/>
  <c r="P24" i="25"/>
  <c r="P25" i="25"/>
  <c r="P26" i="25"/>
  <c r="P28" i="25"/>
  <c r="P29" i="25"/>
  <c r="P30" i="25"/>
  <c r="L22" i="25"/>
  <c r="L23" i="25"/>
  <c r="L24" i="25"/>
  <c r="L25" i="25"/>
  <c r="L26" i="25"/>
  <c r="L27" i="25"/>
  <c r="L28" i="25"/>
  <c r="L29" i="25"/>
  <c r="L30" i="25"/>
  <c r="L31" i="25"/>
  <c r="L32" i="25"/>
  <c r="L33" i="25"/>
  <c r="O29" i="26"/>
  <c r="Q29" i="26" s="1"/>
  <c r="O28" i="26"/>
  <c r="O27" i="26"/>
  <c r="K35" i="55"/>
  <c r="D35" i="55"/>
  <c r="K8" i="55"/>
  <c r="K9" i="55"/>
  <c r="K10" i="55"/>
  <c r="K11" i="55"/>
  <c r="K12" i="55"/>
  <c r="K13" i="55"/>
  <c r="K14" i="55"/>
  <c r="K15" i="55"/>
  <c r="K16" i="55"/>
  <c r="K17" i="55"/>
  <c r="K18" i="55"/>
  <c r="K19" i="55"/>
  <c r="K20" i="55"/>
  <c r="K21" i="55"/>
  <c r="K22" i="55"/>
  <c r="K23" i="55"/>
  <c r="K24" i="55"/>
  <c r="K25" i="55"/>
  <c r="K26" i="55"/>
  <c r="K27" i="55"/>
  <c r="K28" i="55"/>
  <c r="K29" i="55"/>
  <c r="K30" i="55"/>
  <c r="K31" i="55"/>
  <c r="K32" i="55"/>
  <c r="K33" i="55"/>
  <c r="K34" i="55"/>
  <c r="I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G31" i="55"/>
  <c r="G32" i="55"/>
  <c r="G34" i="55"/>
  <c r="E8"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B8" i="55"/>
  <c r="C8" i="55"/>
  <c r="B9" i="55"/>
  <c r="C9" i="55"/>
  <c r="B10" i="55"/>
  <c r="C10" i="55"/>
  <c r="B11" i="55"/>
  <c r="C11" i="55"/>
  <c r="B12" i="55"/>
  <c r="C12" i="55"/>
  <c r="B13" i="55"/>
  <c r="C13" i="55"/>
  <c r="B14" i="55"/>
  <c r="C14" i="55"/>
  <c r="B15" i="55"/>
  <c r="C15" i="55"/>
  <c r="B16" i="55"/>
  <c r="C16" i="55"/>
  <c r="B17" i="55"/>
  <c r="C17" i="55"/>
  <c r="B18" i="55"/>
  <c r="C18" i="55"/>
  <c r="B19" i="55"/>
  <c r="C19" i="55"/>
  <c r="B20" i="55"/>
  <c r="C20" i="55"/>
  <c r="B21" i="55"/>
  <c r="C21" i="55"/>
  <c r="B22" i="55"/>
  <c r="C22" i="55"/>
  <c r="B23" i="55"/>
  <c r="C23" i="55"/>
  <c r="B24" i="55"/>
  <c r="C24" i="55"/>
  <c r="B25" i="55"/>
  <c r="C25" i="55"/>
  <c r="B26" i="55"/>
  <c r="C26" i="55"/>
  <c r="B27" i="55"/>
  <c r="C27" i="55"/>
  <c r="B28" i="55"/>
  <c r="C28" i="55"/>
  <c r="B29" i="55"/>
  <c r="C29" i="55"/>
  <c r="B30" i="55"/>
  <c r="C30" i="55"/>
  <c r="B31" i="55"/>
  <c r="C31" i="55"/>
  <c r="B32" i="55"/>
  <c r="C32" i="55"/>
  <c r="B33" i="55"/>
  <c r="C33" i="55"/>
  <c r="B34" i="55"/>
  <c r="C34" i="55"/>
  <c r="M1" i="55"/>
  <c r="L35" i="55" s="1"/>
  <c r="O15" i="54"/>
  <c r="O16" i="54"/>
  <c r="N12" i="54"/>
  <c r="O12" i="54" s="1"/>
  <c r="N13" i="54"/>
  <c r="O13" i="54" s="1"/>
  <c r="N14" i="54"/>
  <c r="O14" i="54" s="1"/>
  <c r="N15" i="54"/>
  <c r="N16" i="54"/>
  <c r="N17" i="54"/>
  <c r="O17" i="54" s="1"/>
  <c r="N18" i="54"/>
  <c r="O18" i="54" s="1"/>
  <c r="N19" i="54"/>
  <c r="O19" i="54" s="1"/>
  <c r="N20" i="54"/>
  <c r="O20" i="54" s="1"/>
  <c r="N21" i="54"/>
  <c r="O21" i="54" s="1"/>
  <c r="N22" i="54"/>
  <c r="O22" i="54" s="1"/>
  <c r="N23" i="54"/>
  <c r="O23" i="54" s="1"/>
  <c r="N24" i="54"/>
  <c r="O24" i="54" s="1"/>
  <c r="N25" i="54"/>
  <c r="O25" i="54" s="1"/>
  <c r="N26" i="54"/>
  <c r="O26" i="54" s="1"/>
  <c r="N27" i="54"/>
  <c r="O27" i="54" s="1"/>
  <c r="N28" i="54"/>
  <c r="O28" i="54" s="1"/>
  <c r="N29" i="54"/>
  <c r="O29" i="54" s="1"/>
  <c r="N30" i="54"/>
  <c r="O30" i="54" s="1"/>
  <c r="N31" i="54"/>
  <c r="O31" i="54" s="1"/>
  <c r="N32" i="54"/>
  <c r="O32" i="54" s="1"/>
  <c r="N33" i="54"/>
  <c r="O33" i="54" s="1"/>
  <c r="N34" i="54"/>
  <c r="O34" i="54" s="1"/>
  <c r="N35" i="54"/>
  <c r="O35" i="54" s="1"/>
  <c r="N36" i="54"/>
  <c r="O36" i="54" s="1"/>
  <c r="N37" i="54"/>
  <c r="O37" i="54" s="1"/>
  <c r="N38" i="54"/>
  <c r="O38" i="54" s="1"/>
  <c r="K12" i="54"/>
  <c r="G8" i="55" s="1"/>
  <c r="K13" i="54"/>
  <c r="G9" i="55" s="1"/>
  <c r="K14" i="54"/>
  <c r="G10" i="55" s="1"/>
  <c r="K15" i="54"/>
  <c r="G11" i="55" s="1"/>
  <c r="K16" i="54"/>
  <c r="G12" i="55" s="1"/>
  <c r="K17" i="54"/>
  <c r="G13" i="55" s="1"/>
  <c r="K18" i="54"/>
  <c r="G14" i="55" s="1"/>
  <c r="K19" i="54"/>
  <c r="G15" i="55" s="1"/>
  <c r="K20" i="54"/>
  <c r="G16" i="55" s="1"/>
  <c r="K21" i="54"/>
  <c r="G17" i="55" s="1"/>
  <c r="K22" i="54"/>
  <c r="G18" i="55" s="1"/>
  <c r="K23" i="54"/>
  <c r="G19" i="55" s="1"/>
  <c r="K24" i="54"/>
  <c r="G20" i="55" s="1"/>
  <c r="K25" i="54"/>
  <c r="G21" i="55" s="1"/>
  <c r="K26" i="54"/>
  <c r="G22" i="55" s="1"/>
  <c r="K27" i="54"/>
  <c r="G23" i="55" s="1"/>
  <c r="K28" i="54"/>
  <c r="G24" i="55" s="1"/>
  <c r="K29" i="54"/>
  <c r="G25" i="55" s="1"/>
  <c r="K30" i="54"/>
  <c r="G26" i="55" s="1"/>
  <c r="K31" i="54"/>
  <c r="G27" i="55" s="1"/>
  <c r="K32" i="54"/>
  <c r="G28" i="55" s="1"/>
  <c r="K33" i="54"/>
  <c r="G29" i="55" s="1"/>
  <c r="K34" i="54"/>
  <c r="G30" i="55" s="1"/>
  <c r="K35" i="54"/>
  <c r="K36" i="54"/>
  <c r="K37" i="54"/>
  <c r="G33" i="55" s="1"/>
  <c r="K38" i="54"/>
  <c r="F13" i="54"/>
  <c r="F14" i="54"/>
  <c r="F15" i="54"/>
  <c r="F16" i="54"/>
  <c r="F17" i="54"/>
  <c r="F18" i="54"/>
  <c r="F19" i="54"/>
  <c r="F20" i="54"/>
  <c r="F21" i="54"/>
  <c r="F22" i="54"/>
  <c r="F23" i="54" s="1"/>
  <c r="F24" i="54" s="1"/>
  <c r="F25" i="54" s="1"/>
  <c r="F26" i="54" s="1"/>
  <c r="F27" i="54" s="1"/>
  <c r="F28" i="54" s="1"/>
  <c r="F29" i="54" s="1"/>
  <c r="F30" i="54" s="1"/>
  <c r="F31" i="54" s="1"/>
  <c r="F32" i="54" s="1"/>
  <c r="F33" i="54" s="1"/>
  <c r="F34" i="54" s="1"/>
  <c r="F35" i="54" s="1"/>
  <c r="F36" i="54" s="1"/>
  <c r="F37" i="54" s="1"/>
  <c r="F38" i="54" s="1"/>
  <c r="Q36" i="26"/>
  <c r="Q34" i="26"/>
  <c r="Q33" i="26"/>
  <c r="Q32" i="26"/>
  <c r="Q31" i="26"/>
  <c r="Q28" i="26"/>
  <c r="Q27" i="26"/>
  <c r="Q26" i="26"/>
  <c r="Q18" i="26"/>
  <c r="Q19" i="26"/>
  <c r="C9" i="1"/>
  <c r="Q24" i="26" s="1"/>
  <c r="P22" i="25" s="1"/>
  <c r="C13" i="69"/>
  <c r="C18" i="69"/>
  <c r="C25" i="69"/>
  <c r="C26" i="69"/>
  <c r="C27" i="69"/>
  <c r="Q34" i="25" l="1"/>
  <c r="E35" i="55"/>
  <c r="F35" i="55" s="1"/>
  <c r="I35" i="55"/>
  <c r="J35" i="55" s="1"/>
  <c r="G35" i="55"/>
  <c r="H35" i="55" s="1"/>
  <c r="O24" i="26"/>
  <c r="N22" i="25" s="1"/>
  <c r="I15" i="49"/>
  <c r="I14" i="49"/>
  <c r="C25" i="49"/>
  <c r="C26" i="49" s="1"/>
  <c r="C18" i="49"/>
  <c r="C17" i="49"/>
  <c r="E18" i="50"/>
  <c r="E10" i="50"/>
  <c r="E15" i="50" s="1"/>
  <c r="E22" i="50" s="1"/>
  <c r="K36" i="55"/>
  <c r="K37" i="55"/>
  <c r="K38" i="55"/>
  <c r="K39" i="55"/>
  <c r="K40" i="55"/>
  <c r="K41" i="55"/>
  <c r="K42" i="55"/>
  <c r="K43" i="55"/>
  <c r="K44" i="55"/>
  <c r="K45" i="55"/>
  <c r="K46" i="55"/>
  <c r="K47" i="55"/>
  <c r="K48" i="55"/>
  <c r="K49" i="55"/>
  <c r="K50" i="55"/>
  <c r="K51" i="55"/>
  <c r="K52" i="55"/>
  <c r="K53" i="55"/>
  <c r="K54" i="55"/>
  <c r="K55" i="55"/>
  <c r="K56" i="55"/>
  <c r="K57" i="55"/>
  <c r="K58" i="55"/>
  <c r="K59" i="55"/>
  <c r="K60" i="55"/>
  <c r="K61" i="55"/>
  <c r="K62" i="55"/>
  <c r="K63" i="55"/>
  <c r="K64" i="55"/>
  <c r="K65" i="55"/>
  <c r="K66" i="55"/>
  <c r="K67" i="55"/>
  <c r="E12" i="50" l="1"/>
  <c r="E20" i="50" s="1"/>
  <c r="K68" i="55"/>
  <c r="F25" i="68" l="1"/>
  <c r="F26" i="68"/>
  <c r="F27" i="68"/>
  <c r="F28" i="68"/>
  <c r="F29" i="68"/>
  <c r="F30" i="68"/>
  <c r="F31" i="68"/>
  <c r="F32" i="68"/>
  <c r="F33" i="68"/>
  <c r="F34" i="68"/>
  <c r="F24" i="68"/>
  <c r="F6" i="68"/>
  <c r="F7" i="68"/>
  <c r="F8" i="68"/>
  <c r="F9" i="68"/>
  <c r="F10" i="68"/>
  <c r="F11" i="68"/>
  <c r="F12" i="68"/>
  <c r="F13" i="68"/>
  <c r="F14" i="68"/>
  <c r="F15" i="68"/>
  <c r="F5" i="68"/>
  <c r="M8" i="26" l="1"/>
  <c r="K8" i="26"/>
  <c r="I8" i="26"/>
  <c r="K69" i="55" l="1"/>
  <c r="K70" i="55"/>
  <c r="K71" i="55"/>
  <c r="K72" i="55"/>
  <c r="K73" i="55"/>
  <c r="K74" i="55"/>
  <c r="K75" i="55"/>
  <c r="K76" i="55"/>
  <c r="K77" i="55"/>
  <c r="K78" i="55"/>
  <c r="K79" i="55"/>
  <c r="K80" i="55"/>
  <c r="K81" i="55"/>
  <c r="K82" i="55"/>
  <c r="K83" i="55"/>
  <c r="K84" i="55"/>
  <c r="K85" i="55"/>
  <c r="K86" i="55"/>
  <c r="K87" i="55"/>
  <c r="K88" i="55"/>
  <c r="K89" i="55"/>
  <c r="K90" i="55"/>
  <c r="K91" i="55"/>
  <c r="K92" i="55"/>
  <c r="K93" i="55"/>
  <c r="K94" i="55"/>
  <c r="K95" i="55"/>
  <c r="K96" i="55"/>
  <c r="K97" i="55"/>
  <c r="K98" i="55"/>
  <c r="K99" i="55"/>
  <c r="K100" i="55"/>
  <c r="K101" i="55"/>
  <c r="K102" i="55"/>
  <c r="K103" i="55"/>
  <c r="K104" i="55"/>
  <c r="K105" i="55"/>
  <c r="K106" i="55"/>
  <c r="K107" i="55"/>
  <c r="K108" i="55"/>
  <c r="K109" i="55"/>
  <c r="K110" i="55"/>
  <c r="K111" i="55"/>
  <c r="K112" i="55"/>
  <c r="K113" i="55"/>
  <c r="K114" i="55"/>
  <c r="K115" i="55"/>
  <c r="K116" i="55"/>
  <c r="K117" i="55"/>
  <c r="K118" i="55"/>
  <c r="K119" i="55"/>
  <c r="K120" i="55"/>
  <c r="K121" i="55"/>
  <c r="K122" i="55"/>
  <c r="K123" i="55"/>
  <c r="K124" i="55"/>
  <c r="K125" i="55"/>
  <c r="K126" i="55"/>
  <c r="K127" i="55"/>
  <c r="K128" i="55"/>
  <c r="K129" i="55"/>
  <c r="K130" i="55"/>
  <c r="K131" i="55"/>
  <c r="K132" i="55"/>
  <c r="K133" i="55"/>
  <c r="K134" i="55"/>
  <c r="K135" i="55"/>
  <c r="K136" i="55"/>
  <c r="K137" i="55"/>
  <c r="K138" i="55"/>
  <c r="K139" i="55"/>
  <c r="K140" i="55"/>
  <c r="K141" i="55"/>
  <c r="K142" i="55"/>
  <c r="K143" i="55"/>
  <c r="K144" i="55"/>
  <c r="K145" i="55"/>
  <c r="K146" i="55"/>
  <c r="K147" i="55"/>
  <c r="K148" i="55"/>
  <c r="K149" i="55"/>
  <c r="K150" i="55"/>
  <c r="K151" i="55"/>
  <c r="K152" i="55"/>
  <c r="K153" i="55"/>
  <c r="K154" i="55"/>
  <c r="K155" i="55"/>
  <c r="K156" i="55"/>
  <c r="K157" i="55"/>
  <c r="K158" i="55"/>
  <c r="K159" i="55"/>
  <c r="K160" i="55"/>
  <c r="K161" i="55"/>
  <c r="K162" i="55"/>
  <c r="K163" i="55"/>
  <c r="K164" i="55"/>
  <c r="K165" i="55"/>
  <c r="K166" i="55"/>
  <c r="K167" i="55"/>
  <c r="K168" i="55"/>
  <c r="K169" i="55"/>
  <c r="K170" i="55"/>
  <c r="K171" i="55"/>
  <c r="K172" i="55"/>
  <c r="K173" i="55"/>
  <c r="K174" i="55"/>
  <c r="K175" i="55"/>
  <c r="K176" i="55"/>
  <c r="K177" i="55"/>
  <c r="K178" i="55"/>
  <c r="K179" i="55"/>
  <c r="K180" i="55"/>
  <c r="K181" i="55"/>
  <c r="K182" i="55"/>
  <c r="K183" i="55"/>
  <c r="K184" i="55"/>
  <c r="K185" i="55"/>
  <c r="K186" i="55"/>
  <c r="K187" i="55"/>
  <c r="K188" i="55"/>
  <c r="K189" i="55"/>
  <c r="K190" i="55"/>
  <c r="K191" i="55"/>
  <c r="K192" i="55"/>
  <c r="K193" i="55"/>
  <c r="K194" i="55"/>
  <c r="K195" i="55"/>
  <c r="K196" i="55"/>
  <c r="K197" i="55"/>
  <c r="K198" i="55"/>
  <c r="K199" i="55"/>
  <c r="K200" i="55"/>
  <c r="K201" i="55"/>
  <c r="K202" i="55"/>
  <c r="K203" i="55"/>
  <c r="K204" i="55"/>
  <c r="K205" i="55"/>
  <c r="K206" i="55"/>
  <c r="K207" i="55"/>
  <c r="K208" i="55"/>
  <c r="K209" i="55"/>
  <c r="K210" i="55"/>
  <c r="K211" i="55"/>
  <c r="K212" i="55"/>
  <c r="K213" i="55"/>
  <c r="K214" i="55"/>
  <c r="K215" i="55"/>
  <c r="K216" i="55"/>
  <c r="K217" i="55"/>
  <c r="K218" i="55"/>
  <c r="K219" i="55"/>
  <c r="K220" i="55"/>
  <c r="K221" i="55"/>
  <c r="K222" i="55"/>
  <c r="K223" i="55"/>
  <c r="K224" i="55"/>
  <c r="K225" i="55"/>
  <c r="K226" i="55"/>
  <c r="K227" i="55"/>
  <c r="K228" i="55"/>
  <c r="K229" i="55"/>
  <c r="K230" i="55"/>
  <c r="K231" i="55"/>
  <c r="K232" i="55"/>
  <c r="K233" i="55"/>
  <c r="K234" i="55"/>
  <c r="K235" i="55"/>
  <c r="K236" i="55"/>
  <c r="K237" i="55"/>
  <c r="K238" i="55"/>
  <c r="K239" i="55"/>
  <c r="K240" i="55"/>
  <c r="K241" i="55"/>
  <c r="K242" i="55"/>
  <c r="K243" i="55"/>
  <c r="K244" i="55"/>
  <c r="K245" i="55"/>
  <c r="K246" i="55"/>
  <c r="K247" i="55"/>
  <c r="K248" i="55"/>
  <c r="K249" i="55"/>
  <c r="K250" i="55"/>
  <c r="K251" i="55"/>
  <c r="K252" i="55"/>
  <c r="K253" i="55"/>
  <c r="K254" i="55"/>
  <c r="K255" i="55"/>
  <c r="K256" i="55"/>
  <c r="K257" i="55"/>
  <c r="K258" i="55"/>
  <c r="K259" i="55"/>
  <c r="K260" i="55"/>
  <c r="K261" i="55"/>
  <c r="K262" i="55"/>
  <c r="K263" i="55"/>
  <c r="K264" i="55"/>
  <c r="K265" i="55"/>
  <c r="K266" i="55"/>
  <c r="K267" i="55"/>
  <c r="K268" i="55"/>
  <c r="K269" i="55"/>
  <c r="K270" i="55"/>
  <c r="K271" i="55"/>
  <c r="K272" i="55"/>
  <c r="K273" i="55"/>
  <c r="K274" i="55"/>
  <c r="K275" i="55"/>
  <c r="K276" i="55"/>
  <c r="K277" i="55"/>
  <c r="K278" i="55"/>
  <c r="K279" i="55"/>
  <c r="K280" i="55"/>
  <c r="K281" i="55"/>
  <c r="K282" i="55"/>
  <c r="K283" i="55"/>
  <c r="K284" i="55"/>
  <c r="K285" i="55"/>
  <c r="K286" i="55"/>
  <c r="K287" i="55"/>
  <c r="K288" i="55"/>
  <c r="K289" i="55"/>
  <c r="K290" i="55"/>
  <c r="K291" i="55"/>
  <c r="K292" i="55"/>
  <c r="K293" i="55"/>
  <c r="K294" i="55"/>
  <c r="K295" i="55"/>
  <c r="K296" i="55"/>
  <c r="K297" i="55"/>
  <c r="K298" i="55"/>
  <c r="K299" i="55"/>
  <c r="K300" i="55"/>
  <c r="K301" i="55"/>
  <c r="K302" i="55"/>
  <c r="K303" i="55"/>
  <c r="K304" i="55"/>
  <c r="K305" i="55"/>
  <c r="K306" i="55"/>
  <c r="K307" i="55"/>
  <c r="K308" i="55"/>
  <c r="K309" i="55"/>
  <c r="K310" i="55"/>
  <c r="K311" i="55"/>
  <c r="K312" i="55"/>
  <c r="K313" i="55"/>
  <c r="K314" i="55"/>
  <c r="K315" i="55"/>
  <c r="K316" i="55"/>
  <c r="K317" i="55"/>
  <c r="K318" i="55"/>
  <c r="K319" i="55"/>
  <c r="K320" i="55"/>
  <c r="K321" i="55"/>
  <c r="K322" i="55"/>
  <c r="K323" i="55"/>
  <c r="K324" i="55"/>
  <c r="K325" i="55"/>
  <c r="K326" i="55"/>
  <c r="K327" i="55"/>
  <c r="K328" i="55"/>
  <c r="K329" i="55"/>
  <c r="K330" i="55"/>
  <c r="K331" i="55"/>
  <c r="K332" i="55"/>
  <c r="K333" i="55"/>
  <c r="K334" i="55"/>
  <c r="K335" i="55"/>
  <c r="K336" i="55"/>
  <c r="K337" i="55"/>
  <c r="K338" i="55"/>
  <c r="K339" i="55"/>
  <c r="K340" i="55"/>
  <c r="K341" i="55"/>
  <c r="K342" i="55"/>
  <c r="K343" i="55"/>
  <c r="K344" i="55"/>
  <c r="K345" i="55"/>
  <c r="K346" i="55"/>
  <c r="K347" i="55"/>
  <c r="K348" i="55"/>
  <c r="K349" i="55"/>
  <c r="K350" i="55"/>
  <c r="K351" i="55"/>
  <c r="K352" i="55"/>
  <c r="K353" i="55"/>
  <c r="K354" i="55"/>
  <c r="K355" i="55"/>
  <c r="K356" i="55"/>
  <c r="K357" i="55"/>
  <c r="K358" i="55"/>
  <c r="K359" i="55"/>
  <c r="K360" i="55"/>
  <c r="K361" i="55"/>
  <c r="K362" i="55"/>
  <c r="K363" i="55"/>
  <c r="K364" i="55"/>
  <c r="K365" i="55"/>
  <c r="K366" i="55"/>
  <c r="K367" i="55"/>
  <c r="K368" i="55"/>
  <c r="K369" i="55"/>
  <c r="K370" i="55"/>
  <c r="K371" i="55"/>
  <c r="K372" i="55"/>
  <c r="K373" i="55"/>
  <c r="K374" i="55"/>
  <c r="K375" i="55"/>
  <c r="K376" i="55"/>
  <c r="K377" i="55"/>
  <c r="K378" i="55"/>
  <c r="K379" i="55"/>
  <c r="K380" i="55"/>
  <c r="K381" i="55"/>
  <c r="K382" i="55"/>
  <c r="K383" i="55"/>
  <c r="K384" i="55"/>
  <c r="K385" i="55"/>
  <c r="K386" i="55"/>
  <c r="K387" i="55"/>
  <c r="K388" i="55"/>
  <c r="K389" i="55"/>
  <c r="K390" i="55"/>
  <c r="K391" i="55"/>
  <c r="K392" i="55"/>
  <c r="K393" i="55"/>
  <c r="K394" i="55"/>
  <c r="K395" i="55"/>
  <c r="K396" i="55"/>
  <c r="K397" i="55"/>
  <c r="K398" i="55"/>
  <c r="K399" i="55"/>
  <c r="K400" i="55"/>
  <c r="K401" i="55"/>
  <c r="K402" i="55"/>
  <c r="K403" i="55"/>
  <c r="K404" i="55"/>
  <c r="K405" i="55"/>
  <c r="K406" i="55"/>
  <c r="K407" i="55"/>
  <c r="K408" i="55"/>
  <c r="K409" i="55"/>
  <c r="K410" i="55"/>
  <c r="K411" i="55"/>
  <c r="K412" i="55"/>
  <c r="K413" i="55"/>
  <c r="K414" i="55"/>
  <c r="K415" i="55"/>
  <c r="K416" i="55"/>
  <c r="K417" i="55"/>
  <c r="K418" i="55"/>
  <c r="K419" i="55"/>
  <c r="K420" i="55"/>
  <c r="K421" i="55"/>
  <c r="K422" i="55"/>
  <c r="K423" i="55"/>
  <c r="K424" i="55"/>
  <c r="K425" i="55"/>
  <c r="K426" i="55"/>
  <c r="K427" i="55"/>
  <c r="K428" i="55"/>
  <c r="K429" i="55"/>
  <c r="K430" i="55"/>
  <c r="K431" i="55"/>
  <c r="K432" i="55"/>
  <c r="K433" i="55"/>
  <c r="K434" i="55"/>
  <c r="K435" i="55"/>
  <c r="K436" i="55"/>
  <c r="K437" i="55"/>
  <c r="K438" i="55"/>
  <c r="K439" i="55"/>
  <c r="K440" i="55"/>
  <c r="K441" i="55"/>
  <c r="K442" i="55"/>
  <c r="K443" i="55"/>
  <c r="K444" i="55"/>
  <c r="K445" i="55"/>
  <c r="K446" i="55"/>
  <c r="K447" i="55"/>
  <c r="K448" i="55"/>
  <c r="K449" i="55"/>
  <c r="K450" i="55"/>
  <c r="K451" i="55"/>
  <c r="K452" i="55"/>
  <c r="K453" i="55"/>
  <c r="K454" i="55"/>
  <c r="K455" i="55"/>
  <c r="K456" i="55"/>
  <c r="K457" i="55"/>
  <c r="K458" i="55"/>
  <c r="K459" i="55"/>
  <c r="K460" i="55"/>
  <c r="K461" i="55"/>
  <c r="K462" i="55"/>
  <c r="K463" i="55"/>
  <c r="K464" i="55"/>
  <c r="K465" i="55"/>
  <c r="K466" i="55"/>
  <c r="K467" i="55"/>
  <c r="K468" i="55"/>
  <c r="K469" i="55"/>
  <c r="K470" i="55"/>
  <c r="K471" i="55"/>
  <c r="K472" i="55"/>
  <c r="K473" i="55"/>
  <c r="K474" i="55"/>
  <c r="K475" i="55"/>
  <c r="K476" i="55"/>
  <c r="K477" i="55"/>
  <c r="K478" i="55"/>
  <c r="K479" i="55"/>
  <c r="K480" i="55"/>
  <c r="K481" i="55"/>
  <c r="K482" i="55"/>
  <c r="K483" i="55"/>
  <c r="K484" i="55"/>
  <c r="K485" i="55"/>
  <c r="K486" i="55"/>
  <c r="K487" i="55"/>
  <c r="K488" i="55"/>
  <c r="K489" i="55"/>
  <c r="K490" i="55"/>
  <c r="K491" i="55"/>
  <c r="K492" i="55"/>
  <c r="K493" i="55"/>
  <c r="K494" i="55"/>
  <c r="K495" i="55"/>
  <c r="K496" i="55"/>
  <c r="K497" i="55"/>
  <c r="K498" i="55"/>
  <c r="K499" i="55"/>
  <c r="K500" i="55"/>
  <c r="K501" i="55"/>
  <c r="K502" i="55"/>
  <c r="K503" i="55"/>
  <c r="K504" i="55"/>
  <c r="K505" i="55"/>
  <c r="K506" i="55"/>
  <c r="K507" i="55"/>
  <c r="K508" i="55"/>
  <c r="K509" i="55"/>
  <c r="K510" i="55"/>
  <c r="K511" i="55"/>
  <c r="K512" i="55"/>
  <c r="K513" i="55"/>
  <c r="K514" i="55"/>
  <c r="K515" i="55"/>
  <c r="K516" i="55"/>
  <c r="K517" i="55"/>
  <c r="K518" i="55"/>
  <c r="K519" i="55"/>
  <c r="K520" i="55"/>
  <c r="K521" i="55"/>
  <c r="K522" i="55"/>
  <c r="K523" i="55"/>
  <c r="K524" i="55"/>
  <c r="K525" i="55"/>
  <c r="K526" i="55"/>
  <c r="K527" i="55"/>
  <c r="K528" i="55"/>
  <c r="K529" i="55"/>
  <c r="K530" i="55"/>
  <c r="K531" i="55"/>
  <c r="K532" i="55"/>
  <c r="K533" i="55"/>
  <c r="K534" i="55"/>
  <c r="K535" i="55"/>
  <c r="K536" i="55"/>
  <c r="K537" i="55"/>
  <c r="K538" i="55"/>
  <c r="K539" i="55"/>
  <c r="K540" i="55"/>
  <c r="K541" i="55"/>
  <c r="K542" i="55"/>
  <c r="K543" i="55"/>
  <c r="K544" i="55"/>
  <c r="K545" i="55"/>
  <c r="K546" i="55"/>
  <c r="K547" i="55"/>
  <c r="K548" i="55"/>
  <c r="K549" i="55"/>
  <c r="K550" i="55"/>
  <c r="K551" i="55"/>
  <c r="K552" i="55"/>
  <c r="K553" i="55"/>
  <c r="K554" i="55"/>
  <c r="K555" i="55"/>
  <c r="K556" i="55"/>
  <c r="K557" i="55"/>
  <c r="K558" i="55"/>
  <c r="K559" i="55"/>
  <c r="K560" i="55"/>
  <c r="K561" i="55"/>
  <c r="K562" i="55"/>
  <c r="K563" i="55"/>
  <c r="K564" i="55"/>
  <c r="K565" i="55"/>
  <c r="K566" i="55"/>
  <c r="K567" i="55"/>
  <c r="K568" i="55"/>
  <c r="K569" i="55"/>
  <c r="K570" i="55"/>
  <c r="K571" i="55"/>
  <c r="K572" i="55"/>
  <c r="K573" i="55"/>
  <c r="K574" i="55"/>
  <c r="K575" i="55"/>
  <c r="K576" i="55"/>
  <c r="K577" i="55"/>
  <c r="K578" i="55"/>
  <c r="K579" i="55"/>
  <c r="K580" i="55"/>
  <c r="K581" i="55"/>
  <c r="K582" i="55"/>
  <c r="K583" i="55"/>
  <c r="K584" i="55"/>
  <c r="K585" i="55"/>
  <c r="K586" i="55"/>
  <c r="K587" i="55"/>
  <c r="K588" i="55"/>
  <c r="K589" i="55"/>
  <c r="K590" i="55"/>
  <c r="K591" i="55"/>
  <c r="K592" i="55"/>
  <c r="K593" i="55"/>
  <c r="K594" i="55"/>
  <c r="K595" i="55"/>
  <c r="K596" i="55"/>
  <c r="K597" i="55"/>
  <c r="K598" i="55"/>
  <c r="K599" i="55"/>
  <c r="K600" i="55"/>
  <c r="K601" i="55"/>
  <c r="K602" i="55"/>
  <c r="K603" i="55"/>
  <c r="K604" i="55"/>
  <c r="K605" i="55"/>
  <c r="K606" i="55"/>
  <c r="K607" i="55"/>
  <c r="O7" i="48" l="1"/>
  <c r="P7" i="48"/>
  <c r="Q7" i="48"/>
  <c r="Q10" i="48" s="1"/>
  <c r="K608" i="55" l="1"/>
  <c r="P10" i="48"/>
  <c r="O10" i="48"/>
  <c r="B53" i="31" l="1"/>
  <c r="B54" i="31" s="1"/>
  <c r="B55" i="31" s="1"/>
  <c r="B42" i="31"/>
  <c r="B43" i="31" s="1"/>
  <c r="B44" i="31" s="1"/>
  <c r="B45" i="31" s="1"/>
  <c r="B31" i="31"/>
  <c r="B32" i="31" s="1"/>
  <c r="B33" i="31" s="1"/>
  <c r="B34" i="31" s="1"/>
  <c r="B20" i="31"/>
  <c r="B21" i="31" s="1"/>
  <c r="B22" i="31" s="1"/>
  <c r="B23" i="31" s="1"/>
  <c r="B9" i="31"/>
  <c r="M1" i="66"/>
  <c r="L1" i="66"/>
  <c r="K1" i="66"/>
  <c r="J1" i="66"/>
  <c r="I1" i="66"/>
  <c r="H1" i="66"/>
  <c r="L1" i="65"/>
  <c r="M1" i="65"/>
  <c r="K1" i="65"/>
  <c r="I1" i="65"/>
  <c r="J1" i="65"/>
  <c r="H1" i="65"/>
  <c r="B10" i="31" l="1"/>
  <c r="B11" i="31" s="1"/>
  <c r="B12" i="31" s="1"/>
  <c r="B56" i="31"/>
  <c r="B2" i="66" l="1" a="1"/>
  <c r="B2" i="66" l="1"/>
  <c r="C5" i="66"/>
  <c r="C4" i="66"/>
  <c r="C6" i="66"/>
  <c r="C3" i="66"/>
  <c r="C2" i="66" l="1"/>
  <c r="N7" i="49" l="1"/>
  <c r="K609" i="55" l="1"/>
  <c r="K610" i="55"/>
  <c r="K611" i="55"/>
  <c r="K612" i="55"/>
  <c r="K613" i="55"/>
  <c r="K614" i="55"/>
  <c r="K615" i="55"/>
  <c r="K616" i="55"/>
  <c r="K617" i="55"/>
  <c r="K618" i="55"/>
  <c r="K619" i="55"/>
  <c r="K620" i="55"/>
  <c r="K621" i="55"/>
  <c r="K622" i="55"/>
  <c r="K623" i="55"/>
  <c r="K624" i="55"/>
  <c r="K625" i="55"/>
  <c r="K626" i="55"/>
  <c r="K627" i="55"/>
  <c r="K628" i="55"/>
  <c r="K629" i="55"/>
  <c r="K630" i="55"/>
  <c r="K631" i="55"/>
  <c r="K632" i="55"/>
  <c r="K633" i="55"/>
  <c r="K634" i="55"/>
  <c r="K635" i="55"/>
  <c r="K636" i="55"/>
  <c r="K637" i="55"/>
  <c r="K638" i="55"/>
  <c r="K639" i="55"/>
  <c r="K640" i="55"/>
  <c r="K641" i="55"/>
  <c r="K642" i="55"/>
  <c r="K643" i="55"/>
  <c r="K644" i="55"/>
  <c r="K645" i="55"/>
  <c r="K646" i="55"/>
  <c r="K647" i="55"/>
  <c r="K648" i="55"/>
  <c r="K649" i="55"/>
  <c r="K650" i="55"/>
  <c r="K651" i="55"/>
  <c r="K652" i="55"/>
  <c r="K653" i="55"/>
  <c r="K654" i="55"/>
  <c r="K655" i="55"/>
  <c r="K656" i="55"/>
  <c r="K657" i="55"/>
  <c r="K658" i="55"/>
  <c r="K659" i="55"/>
  <c r="K660" i="55"/>
  <c r="K661" i="55"/>
  <c r="K662" i="55"/>
  <c r="K663" i="55"/>
  <c r="K664" i="55"/>
  <c r="K665" i="55"/>
  <c r="K666" i="55"/>
  <c r="K667" i="55"/>
  <c r="K668" i="55"/>
  <c r="K669" i="55"/>
  <c r="K670" i="55"/>
  <c r="K671" i="55"/>
  <c r="K672" i="55"/>
  <c r="K673" i="55"/>
  <c r="K674" i="55"/>
  <c r="K675" i="55"/>
  <c r="K676" i="55"/>
  <c r="K677" i="55"/>
  <c r="K678" i="55"/>
  <c r="K679" i="55"/>
  <c r="K680" i="55"/>
  <c r="K681" i="55"/>
  <c r="K682" i="55"/>
  <c r="K683" i="55"/>
  <c r="K684" i="55"/>
  <c r="K685" i="55"/>
  <c r="K686" i="55"/>
  <c r="K687" i="55"/>
  <c r="K688" i="55"/>
  <c r="K689" i="55"/>
  <c r="K690" i="55"/>
  <c r="K691" i="55"/>
  <c r="K692" i="55"/>
  <c r="K693" i="55"/>
  <c r="K694" i="55"/>
  <c r="K695" i="55"/>
  <c r="K696" i="55"/>
  <c r="K697" i="55"/>
  <c r="K698" i="55"/>
  <c r="K699" i="55"/>
  <c r="K700" i="55"/>
  <c r="K701" i="55"/>
  <c r="K702" i="55"/>
  <c r="K703" i="55"/>
  <c r="K704" i="55"/>
  <c r="K705" i="55"/>
  <c r="K706" i="55"/>
  <c r="K707" i="55"/>
  <c r="K708" i="55"/>
  <c r="K709" i="55"/>
  <c r="K710" i="55"/>
  <c r="K711" i="55"/>
  <c r="K712" i="55"/>
  <c r="K713" i="55"/>
  <c r="K714" i="55"/>
  <c r="K715" i="55"/>
  <c r="K716" i="55"/>
  <c r="K717" i="55"/>
  <c r="K718" i="55"/>
  <c r="K719" i="55"/>
  <c r="K720" i="55"/>
  <c r="K721" i="55"/>
  <c r="K722" i="55"/>
  <c r="K723" i="55"/>
  <c r="K724" i="55"/>
  <c r="K725" i="55"/>
  <c r="K726" i="55"/>
  <c r="K727" i="55"/>
  <c r="K728" i="55"/>
  <c r="K729" i="55"/>
  <c r="K730" i="55"/>
  <c r="K731" i="55"/>
  <c r="K732" i="55"/>
  <c r="K733" i="55"/>
  <c r="K734" i="55"/>
  <c r="K735" i="55"/>
  <c r="K736" i="55"/>
  <c r="K737" i="55"/>
  <c r="K738" i="55"/>
  <c r="K739" i="55"/>
  <c r="K740" i="55"/>
  <c r="K741" i="55"/>
  <c r="K742" i="55"/>
  <c r="K743" i="55"/>
  <c r="K744" i="55"/>
  <c r="K745" i="55"/>
  <c r="K746" i="55"/>
  <c r="K747" i="55"/>
  <c r="K748" i="55"/>
  <c r="K749" i="55"/>
  <c r="K750" i="55"/>
  <c r="K751" i="55"/>
  <c r="K752" i="55"/>
  <c r="K753" i="55"/>
  <c r="K754" i="55"/>
  <c r="K755" i="55"/>
  <c r="K756" i="55"/>
  <c r="K757" i="55"/>
  <c r="K758" i="55"/>
  <c r="K759" i="55"/>
  <c r="K760" i="55"/>
  <c r="K761" i="55"/>
  <c r="K762" i="55"/>
  <c r="K763" i="55"/>
  <c r="K764" i="55"/>
  <c r="K765" i="55"/>
  <c r="K766" i="55"/>
  <c r="K767" i="55"/>
  <c r="K768" i="55"/>
  <c r="K769" i="55"/>
  <c r="K770" i="55"/>
  <c r="K771" i="55"/>
  <c r="K772" i="55"/>
  <c r="K773" i="55"/>
  <c r="K774" i="55"/>
  <c r="K775" i="55"/>
  <c r="K776" i="55"/>
  <c r="K777" i="55"/>
  <c r="K778" i="55"/>
  <c r="K779" i="55"/>
  <c r="K780" i="55"/>
  <c r="K781" i="55"/>
  <c r="K782" i="55"/>
  <c r="K783" i="55"/>
  <c r="K784" i="55"/>
  <c r="K785" i="55"/>
  <c r="K786" i="55"/>
  <c r="K787" i="55"/>
  <c r="K788" i="55"/>
  <c r="K789" i="55"/>
  <c r="K790" i="55"/>
  <c r="K791" i="55"/>
  <c r="K792" i="55"/>
  <c r="K793" i="55"/>
  <c r="K794" i="55"/>
  <c r="K795" i="55"/>
  <c r="K796" i="55"/>
  <c r="K797" i="55"/>
  <c r="K798" i="55"/>
  <c r="K799" i="55"/>
  <c r="K800" i="55"/>
  <c r="K801" i="55"/>
  <c r="K802" i="55"/>
  <c r="K803" i="55"/>
  <c r="K804" i="55"/>
  <c r="K805" i="55"/>
  <c r="K806" i="55"/>
  <c r="K807" i="55"/>
  <c r="K808" i="55" l="1"/>
  <c r="N11" i="49"/>
  <c r="N10" i="49"/>
  <c r="N8" i="49"/>
  <c r="M12" i="49"/>
  <c r="N12" i="49"/>
  <c r="O12" i="49"/>
  <c r="K13" i="30" l="1"/>
  <c r="J13" i="30"/>
  <c r="C413" i="50" l="1"/>
  <c r="G4" i="25" l="1"/>
  <c r="C6" i="49" s="1"/>
  <c r="B51" i="1"/>
  <c r="K6" i="38"/>
  <c r="C9" i="49"/>
  <c r="B50" i="1"/>
  <c r="C53" i="50"/>
  <c r="C54" i="50" s="1"/>
  <c r="D53" i="50"/>
  <c r="L53" i="50"/>
  <c r="L54" i="50" s="1"/>
  <c r="L55" i="50" s="1"/>
  <c r="L56" i="50" s="1"/>
  <c r="L57" i="50" s="1"/>
  <c r="L58" i="50" s="1"/>
  <c r="L59" i="50" s="1"/>
  <c r="L60" i="50" s="1"/>
  <c r="L61" i="50" s="1"/>
  <c r="L62" i="50" s="1"/>
  <c r="L63" i="50" s="1"/>
  <c r="L64" i="50" s="1"/>
  <c r="L65" i="50" s="1"/>
  <c r="L66" i="50" s="1"/>
  <c r="L67" i="50" s="1"/>
  <c r="L68" i="50" s="1"/>
  <c r="L69" i="50" s="1"/>
  <c r="L70" i="50" s="1"/>
  <c r="L71" i="50" s="1"/>
  <c r="L72" i="50" s="1"/>
  <c r="L73" i="50" s="1"/>
  <c r="L74" i="50" s="1"/>
  <c r="L75" i="50" s="1"/>
  <c r="L76" i="50" s="1"/>
  <c r="L77" i="50" s="1"/>
  <c r="L78" i="50" s="1"/>
  <c r="L79" i="50" s="1"/>
  <c r="L80" i="50" s="1"/>
  <c r="L81" i="50" s="1"/>
  <c r="L82" i="50" s="1"/>
  <c r="L83" i="50" s="1"/>
  <c r="L84" i="50" s="1"/>
  <c r="L85" i="50" s="1"/>
  <c r="L86" i="50" s="1"/>
  <c r="L87" i="50" s="1"/>
  <c r="L88" i="50" s="1"/>
  <c r="L89" i="50" s="1"/>
  <c r="L90" i="50" s="1"/>
  <c r="L91" i="50" s="1"/>
  <c r="L92" i="50" s="1"/>
  <c r="L93" i="50" s="1"/>
  <c r="L94" i="50" s="1"/>
  <c r="L95" i="50" s="1"/>
  <c r="L96" i="50" s="1"/>
  <c r="L413" i="50"/>
  <c r="C29" i="50"/>
  <c r="D29" i="50" s="1"/>
  <c r="G16" i="28"/>
  <c r="H16" i="28" s="1"/>
  <c r="I16" i="28" s="1"/>
  <c r="J16" i="28" s="1"/>
  <c r="K16" i="28" s="1"/>
  <c r="L16" i="28" s="1"/>
  <c r="M16" i="28" s="1"/>
  <c r="N16" i="28" s="1"/>
  <c r="O16" i="28" s="1"/>
  <c r="P16" i="28" s="1"/>
  <c r="G17" i="28"/>
  <c r="H17" i="28" s="1"/>
  <c r="I17" i="28" s="1"/>
  <c r="J17" i="28" s="1"/>
  <c r="K17" i="28" s="1"/>
  <c r="L17" i="28" s="1"/>
  <c r="M17" i="28" s="1"/>
  <c r="N17" i="28" s="1"/>
  <c r="O17" i="28" s="1"/>
  <c r="P17" i="28" s="1"/>
  <c r="Q20" i="26"/>
  <c r="G22" i="28"/>
  <c r="H22" i="28" s="1"/>
  <c r="I22" i="28" s="1"/>
  <c r="J22" i="28" s="1"/>
  <c r="K22" i="28" s="1"/>
  <c r="L22" i="28" s="1"/>
  <c r="M22" i="28" s="1"/>
  <c r="N22" i="28" s="1"/>
  <c r="O22" i="28" s="1"/>
  <c r="P22" i="28" s="1"/>
  <c r="G24" i="28"/>
  <c r="H24" i="28" s="1"/>
  <c r="I24" i="28" s="1"/>
  <c r="J24" i="28" s="1"/>
  <c r="K24" i="28" s="1"/>
  <c r="L24" i="28" s="1"/>
  <c r="M24" i="28" s="1"/>
  <c r="N24" i="28" s="1"/>
  <c r="O24" i="28" s="1"/>
  <c r="P24" i="28" s="1"/>
  <c r="G29" i="28"/>
  <c r="H29" i="28"/>
  <c r="I29" i="28"/>
  <c r="J29" i="28"/>
  <c r="K29" i="28"/>
  <c r="L29" i="28"/>
  <c r="M29" i="28"/>
  <c r="N29" i="28"/>
  <c r="O29" i="28"/>
  <c r="P29" i="28"/>
  <c r="L8" i="54"/>
  <c r="B13" i="54"/>
  <c r="B33" i="54"/>
  <c r="B28" i="54"/>
  <c r="B23" i="54"/>
  <c r="N13" i="26"/>
  <c r="P12" i="49"/>
  <c r="Q12" i="49"/>
  <c r="R12" i="49"/>
  <c r="S12" i="49"/>
  <c r="Q32" i="54" a="1"/>
  <c r="Q32" i="54" s="1"/>
  <c r="Q33" i="54" a="1"/>
  <c r="Q33" i="54" s="1"/>
  <c r="Q34" i="54" a="1"/>
  <c r="Q34" i="54" s="1"/>
  <c r="Q35" i="54" a="1"/>
  <c r="Q35" i="54" s="1"/>
  <c r="Q36" i="54" a="1"/>
  <c r="Q36" i="54" s="1"/>
  <c r="B35" i="33"/>
  <c r="F35" i="33" s="1"/>
  <c r="B34" i="33"/>
  <c r="F34" i="33" s="1"/>
  <c r="B33" i="33"/>
  <c r="F33" i="33" s="1"/>
  <c r="B32" i="33"/>
  <c r="F32" i="33" s="1"/>
  <c r="B31" i="33"/>
  <c r="F31" i="33" s="1"/>
  <c r="B30" i="33"/>
  <c r="F30" i="33" s="1"/>
  <c r="B29" i="33"/>
  <c r="F29" i="33" s="1"/>
  <c r="B28" i="33"/>
  <c r="F28" i="33" s="1"/>
  <c r="B27" i="33"/>
  <c r="F27" i="33" s="1"/>
  <c r="B26" i="33"/>
  <c r="F26" i="33" s="1"/>
  <c r="B25" i="33"/>
  <c r="F25" i="33" s="1"/>
  <c r="B24" i="33"/>
  <c r="F24" i="33" s="1"/>
  <c r="B23" i="33"/>
  <c r="F23" i="33" s="1"/>
  <c r="B22" i="33"/>
  <c r="F22" i="33" s="1"/>
  <c r="B21" i="33"/>
  <c r="F21" i="33" s="1"/>
  <c r="B20" i="33"/>
  <c r="F20" i="33" s="1"/>
  <c r="B19" i="33"/>
  <c r="F19" i="33" s="1"/>
  <c r="B18" i="33"/>
  <c r="F18" i="33" s="1"/>
  <c r="B17" i="33"/>
  <c r="F17" i="33" s="1"/>
  <c r="B16" i="33"/>
  <c r="F16" i="33" s="1"/>
  <c r="B15" i="33"/>
  <c r="F15" i="33" s="1"/>
  <c r="B14" i="33"/>
  <c r="F14" i="33" s="1"/>
  <c r="B13" i="33"/>
  <c r="F13" i="33" s="1"/>
  <c r="B12" i="33"/>
  <c r="F12" i="33" s="1"/>
  <c r="B11" i="33"/>
  <c r="F11" i="33" s="1"/>
  <c r="C34" i="33"/>
  <c r="O29" i="33"/>
  <c r="H15" i="61"/>
  <c r="H16" i="63"/>
  <c r="F34" i="25"/>
  <c r="F7" i="69" s="1"/>
  <c r="D57" i="31"/>
  <c r="O52" i="31"/>
  <c r="O53" i="31"/>
  <c r="O54" i="31"/>
  <c r="O55" i="31"/>
  <c r="O56" i="31"/>
  <c r="J52" i="31"/>
  <c r="J53" i="31"/>
  <c r="J54" i="31"/>
  <c r="J55" i="31"/>
  <c r="J56" i="31"/>
  <c r="M52" i="31"/>
  <c r="M53" i="31"/>
  <c r="M54" i="31"/>
  <c r="M55" i="31"/>
  <c r="M56" i="31"/>
  <c r="F33" i="25"/>
  <c r="F6" i="69" s="1"/>
  <c r="D46" i="31"/>
  <c r="J41" i="31"/>
  <c r="J42" i="31"/>
  <c r="J43" i="31"/>
  <c r="J44" i="31"/>
  <c r="J45" i="31"/>
  <c r="M41" i="31"/>
  <c r="M42" i="31"/>
  <c r="M43" i="31"/>
  <c r="M44" i="31"/>
  <c r="M45" i="31"/>
  <c r="AF4" i="56"/>
  <c r="M4" i="56" s="1"/>
  <c r="M16" i="56"/>
  <c r="M15" i="56"/>
  <c r="M14" i="56"/>
  <c r="M13" i="56"/>
  <c r="M12" i="56"/>
  <c r="M11" i="56"/>
  <c r="M10" i="56"/>
  <c r="M9" i="56"/>
  <c r="M8" i="56"/>
  <c r="M7" i="56"/>
  <c r="M6" i="56"/>
  <c r="M5" i="56"/>
  <c r="AF4" i="37"/>
  <c r="L4" i="37" s="1"/>
  <c r="L16" i="37"/>
  <c r="L15" i="37"/>
  <c r="L14" i="37"/>
  <c r="L13" i="37"/>
  <c r="L12" i="37"/>
  <c r="L11" i="37"/>
  <c r="L10" i="37"/>
  <c r="L9" i="37"/>
  <c r="L8" i="37"/>
  <c r="L7" i="37"/>
  <c r="L6" i="37"/>
  <c r="L5" i="37"/>
  <c r="AF4" i="30"/>
  <c r="N4" i="30" s="1"/>
  <c r="N16" i="30"/>
  <c r="N15" i="30"/>
  <c r="N14" i="30"/>
  <c r="N13" i="30"/>
  <c r="N12" i="30"/>
  <c r="N11" i="30"/>
  <c r="N10" i="30"/>
  <c r="N9" i="30"/>
  <c r="N8" i="30"/>
  <c r="N7" i="30"/>
  <c r="N6" i="30"/>
  <c r="N5" i="30"/>
  <c r="U53" i="50"/>
  <c r="U54" i="50" s="1"/>
  <c r="U55" i="50" s="1"/>
  <c r="U56" i="50" s="1"/>
  <c r="U57" i="50" s="1"/>
  <c r="U58" i="50" s="1"/>
  <c r="U59" i="50" s="1"/>
  <c r="U60" i="50" s="1"/>
  <c r="U61" i="50" s="1"/>
  <c r="U62" i="50" s="1"/>
  <c r="U63" i="50" s="1"/>
  <c r="U64" i="50" s="1"/>
  <c r="U65" i="50" s="1"/>
  <c r="U66" i="50" s="1"/>
  <c r="U67" i="50" s="1"/>
  <c r="U68" i="50" s="1"/>
  <c r="U69" i="50" s="1"/>
  <c r="U70" i="50" s="1"/>
  <c r="U71" i="50" s="1"/>
  <c r="U72" i="50" s="1"/>
  <c r="U73" i="50" s="1"/>
  <c r="U74" i="50" s="1"/>
  <c r="U75" i="50" s="1"/>
  <c r="U76" i="50" s="1"/>
  <c r="U77" i="50" s="1"/>
  <c r="U78" i="50" s="1"/>
  <c r="U79" i="50" s="1"/>
  <c r="U80" i="50" s="1"/>
  <c r="U81" i="50" s="1"/>
  <c r="U82" i="50" s="1"/>
  <c r="U83" i="50" s="1"/>
  <c r="U84" i="50" s="1"/>
  <c r="U85" i="50" s="1"/>
  <c r="U86" i="50" s="1"/>
  <c r="U87" i="50" s="1"/>
  <c r="U88" i="50" s="1"/>
  <c r="U89" i="50" s="1"/>
  <c r="U90" i="50" s="1"/>
  <c r="U91" i="50" s="1"/>
  <c r="U92" i="50" s="1"/>
  <c r="U93" i="50" s="1"/>
  <c r="U94" i="50" s="1"/>
  <c r="U95" i="50" s="1"/>
  <c r="U96" i="50" s="1"/>
  <c r="U97" i="50" s="1"/>
  <c r="U98" i="50" s="1"/>
  <c r="U99" i="50" s="1"/>
  <c r="U100" i="50" s="1"/>
  <c r="U101" i="50" s="1"/>
  <c r="U102" i="50" s="1"/>
  <c r="U103" i="50" s="1"/>
  <c r="U104" i="50" s="1"/>
  <c r="U105" i="50" s="1"/>
  <c r="U106" i="50" s="1"/>
  <c r="U107" i="50" s="1"/>
  <c r="U108" i="50" s="1"/>
  <c r="U109" i="50" s="1"/>
  <c r="U110" i="50" s="1"/>
  <c r="U111" i="50" s="1"/>
  <c r="U112" i="50" s="1"/>
  <c r="U113" i="50" s="1"/>
  <c r="U114" i="50" s="1"/>
  <c r="U115" i="50" s="1"/>
  <c r="U116" i="50" s="1"/>
  <c r="U117" i="50" s="1"/>
  <c r="U118" i="50" s="1"/>
  <c r="U119" i="50" s="1"/>
  <c r="U120" i="50" s="1"/>
  <c r="U121" i="50" s="1"/>
  <c r="U122" i="50" s="1"/>
  <c r="U123" i="50" s="1"/>
  <c r="U124" i="50" s="1"/>
  <c r="U125" i="50" s="1"/>
  <c r="U126" i="50" s="1"/>
  <c r="U127" i="50" s="1"/>
  <c r="U128" i="50" s="1"/>
  <c r="U129" i="50" s="1"/>
  <c r="U130" i="50" s="1"/>
  <c r="U131" i="50" s="1"/>
  <c r="U132" i="50" s="1"/>
  <c r="U133" i="50" s="1"/>
  <c r="U134" i="50" s="1"/>
  <c r="U135" i="50" s="1"/>
  <c r="U136" i="50" s="1"/>
  <c r="U137" i="50" s="1"/>
  <c r="U138" i="50" s="1"/>
  <c r="U139" i="50" s="1"/>
  <c r="U140" i="50" s="1"/>
  <c r="U141" i="50" s="1"/>
  <c r="U142" i="50" s="1"/>
  <c r="U143" i="50" s="1"/>
  <c r="U144" i="50" s="1"/>
  <c r="U145" i="50" s="1"/>
  <c r="U146" i="50" s="1"/>
  <c r="U147" i="50" s="1"/>
  <c r="U148" i="50" s="1"/>
  <c r="U149" i="50" s="1"/>
  <c r="U150" i="50" s="1"/>
  <c r="U151" i="50" s="1"/>
  <c r="U152" i="50" s="1"/>
  <c r="U153" i="50" s="1"/>
  <c r="U154" i="50" s="1"/>
  <c r="U155" i="50" s="1"/>
  <c r="U156" i="50" s="1"/>
  <c r="U157" i="50" s="1"/>
  <c r="U158" i="50" s="1"/>
  <c r="U159" i="50" s="1"/>
  <c r="U160" i="50" s="1"/>
  <c r="U161" i="50" s="1"/>
  <c r="U162" i="50" s="1"/>
  <c r="U163" i="50" s="1"/>
  <c r="U164" i="50" s="1"/>
  <c r="U165" i="50" s="1"/>
  <c r="U166" i="50" s="1"/>
  <c r="U167" i="50" s="1"/>
  <c r="U168" i="50" s="1"/>
  <c r="U169" i="50" s="1"/>
  <c r="U170" i="50" s="1"/>
  <c r="U171" i="50" s="1"/>
  <c r="U172" i="50" s="1"/>
  <c r="U173" i="50" s="1"/>
  <c r="U174" i="50" s="1"/>
  <c r="U175" i="50" s="1"/>
  <c r="U176" i="50" s="1"/>
  <c r="U177" i="50" s="1"/>
  <c r="U178" i="50" s="1"/>
  <c r="U179" i="50" s="1"/>
  <c r="U180" i="50" s="1"/>
  <c r="U181" i="50" s="1"/>
  <c r="U182" i="50" s="1"/>
  <c r="U183" i="50" s="1"/>
  <c r="U184" i="50" s="1"/>
  <c r="U185" i="50" s="1"/>
  <c r="U186" i="50" s="1"/>
  <c r="U187" i="50" s="1"/>
  <c r="U188" i="50" s="1"/>
  <c r="U189" i="50" s="1"/>
  <c r="U190" i="50" s="1"/>
  <c r="U191" i="50" s="1"/>
  <c r="U192" i="50" s="1"/>
  <c r="U193" i="50" s="1"/>
  <c r="U194" i="50" s="1"/>
  <c r="U195" i="50" s="1"/>
  <c r="U196" i="50" s="1"/>
  <c r="U197" i="50" s="1"/>
  <c r="U198" i="50" s="1"/>
  <c r="U199" i="50" s="1"/>
  <c r="U200" i="50" s="1"/>
  <c r="U201" i="50" s="1"/>
  <c r="U202" i="50" s="1"/>
  <c r="U203" i="50" s="1"/>
  <c r="U204" i="50" s="1"/>
  <c r="U205" i="50" s="1"/>
  <c r="U206" i="50" s="1"/>
  <c r="U207" i="50" s="1"/>
  <c r="U208" i="50" s="1"/>
  <c r="U209" i="50" s="1"/>
  <c r="U210" i="50" s="1"/>
  <c r="U211" i="50" s="1"/>
  <c r="U212" i="50" s="1"/>
  <c r="U213" i="50" s="1"/>
  <c r="U214" i="50" s="1"/>
  <c r="U215" i="50" s="1"/>
  <c r="U216" i="50" s="1"/>
  <c r="U217" i="50" s="1"/>
  <c r="U218" i="50" s="1"/>
  <c r="U219" i="50" s="1"/>
  <c r="U220" i="50" s="1"/>
  <c r="U221" i="50" s="1"/>
  <c r="U222" i="50" s="1"/>
  <c r="U223" i="50" s="1"/>
  <c r="U224" i="50" s="1"/>
  <c r="U225" i="50" s="1"/>
  <c r="U226" i="50" s="1"/>
  <c r="U227" i="50" s="1"/>
  <c r="U228" i="50" s="1"/>
  <c r="U229" i="50" s="1"/>
  <c r="U230" i="50" s="1"/>
  <c r="U231" i="50" s="1"/>
  <c r="U232" i="50" s="1"/>
  <c r="U233" i="50" s="1"/>
  <c r="U234" i="50" s="1"/>
  <c r="U235" i="50" s="1"/>
  <c r="U236" i="50" s="1"/>
  <c r="U237" i="50" s="1"/>
  <c r="U238" i="50" s="1"/>
  <c r="U239" i="50" s="1"/>
  <c r="U240" i="50" s="1"/>
  <c r="U241" i="50" s="1"/>
  <c r="U242" i="50" s="1"/>
  <c r="U243" i="50" s="1"/>
  <c r="U244" i="50" s="1"/>
  <c r="U245" i="50" s="1"/>
  <c r="U246" i="50" s="1"/>
  <c r="U247" i="50" s="1"/>
  <c r="U248" i="50" s="1"/>
  <c r="U249" i="50" s="1"/>
  <c r="U250" i="50" s="1"/>
  <c r="U251" i="50" s="1"/>
  <c r="U252" i="50" s="1"/>
  <c r="U253" i="50" s="1"/>
  <c r="U254" i="50" s="1"/>
  <c r="U255" i="50" s="1"/>
  <c r="U256" i="50" s="1"/>
  <c r="U257" i="50" s="1"/>
  <c r="U258" i="50" s="1"/>
  <c r="U259" i="50" s="1"/>
  <c r="U260" i="50" s="1"/>
  <c r="U261" i="50" s="1"/>
  <c r="U262" i="50" s="1"/>
  <c r="U263" i="50" s="1"/>
  <c r="U264" i="50" s="1"/>
  <c r="U265" i="50" s="1"/>
  <c r="U266" i="50" s="1"/>
  <c r="U267" i="50" s="1"/>
  <c r="U268" i="50" s="1"/>
  <c r="U269" i="50" s="1"/>
  <c r="U270" i="50" s="1"/>
  <c r="U271" i="50" s="1"/>
  <c r="U272" i="50" s="1"/>
  <c r="U273" i="50" s="1"/>
  <c r="U274" i="50" s="1"/>
  <c r="U275" i="50" s="1"/>
  <c r="U276" i="50" s="1"/>
  <c r="U277" i="50" s="1"/>
  <c r="U278" i="50" s="1"/>
  <c r="U279" i="50" s="1"/>
  <c r="U280" i="50" s="1"/>
  <c r="U281" i="50" s="1"/>
  <c r="U282" i="50" s="1"/>
  <c r="U283" i="50" s="1"/>
  <c r="U284" i="50" s="1"/>
  <c r="U285" i="50" s="1"/>
  <c r="U286" i="50" s="1"/>
  <c r="U287" i="50" s="1"/>
  <c r="U288" i="50" s="1"/>
  <c r="U289" i="50" s="1"/>
  <c r="U290" i="50" s="1"/>
  <c r="U291" i="50" s="1"/>
  <c r="U292" i="50" s="1"/>
  <c r="U293" i="50" s="1"/>
  <c r="U294" i="50" s="1"/>
  <c r="U295" i="50" s="1"/>
  <c r="U296" i="50" s="1"/>
  <c r="U297" i="50" s="1"/>
  <c r="U298" i="50" s="1"/>
  <c r="U299" i="50" s="1"/>
  <c r="U300" i="50" s="1"/>
  <c r="U301" i="50" s="1"/>
  <c r="U302" i="50" s="1"/>
  <c r="U303" i="50" s="1"/>
  <c r="U304" i="50" s="1"/>
  <c r="U305" i="50" s="1"/>
  <c r="U306" i="50" s="1"/>
  <c r="U307" i="50" s="1"/>
  <c r="U308" i="50" s="1"/>
  <c r="U309" i="50" s="1"/>
  <c r="U310" i="50" s="1"/>
  <c r="U311" i="50" s="1"/>
  <c r="U312" i="50" s="1"/>
  <c r="U313" i="50" s="1"/>
  <c r="U314" i="50" s="1"/>
  <c r="U315" i="50" s="1"/>
  <c r="U316" i="50" s="1"/>
  <c r="U317" i="50" s="1"/>
  <c r="U318" i="50" s="1"/>
  <c r="U319" i="50" s="1"/>
  <c r="U320" i="50" s="1"/>
  <c r="U321" i="50" s="1"/>
  <c r="U322" i="50" s="1"/>
  <c r="U323" i="50" s="1"/>
  <c r="U324" i="50" s="1"/>
  <c r="U325" i="50" s="1"/>
  <c r="U326" i="50" s="1"/>
  <c r="U327" i="50" s="1"/>
  <c r="U328" i="50" s="1"/>
  <c r="U329" i="50" s="1"/>
  <c r="U330" i="50" s="1"/>
  <c r="U331" i="50" s="1"/>
  <c r="U332" i="50" s="1"/>
  <c r="U333" i="50" s="1"/>
  <c r="U334" i="50" s="1"/>
  <c r="U335" i="50" s="1"/>
  <c r="U336" i="50" s="1"/>
  <c r="U337" i="50" s="1"/>
  <c r="U338" i="50" s="1"/>
  <c r="U339" i="50" s="1"/>
  <c r="U340" i="50" s="1"/>
  <c r="U341" i="50" s="1"/>
  <c r="U342" i="50" s="1"/>
  <c r="U343" i="50" s="1"/>
  <c r="U344" i="50" s="1"/>
  <c r="U345" i="50" s="1"/>
  <c r="U346" i="50" s="1"/>
  <c r="U347" i="50" s="1"/>
  <c r="U348" i="50" s="1"/>
  <c r="U349" i="50" s="1"/>
  <c r="U350" i="50" s="1"/>
  <c r="U351" i="50" s="1"/>
  <c r="U352" i="50" s="1"/>
  <c r="V413" i="50"/>
  <c r="O20" i="26"/>
  <c r="C21" i="69" s="1"/>
  <c r="F31" i="28"/>
  <c r="G60" i="28" s="1"/>
  <c r="D20" i="29"/>
  <c r="Z413" i="50"/>
  <c r="D28" i="33"/>
  <c r="D29" i="33"/>
  <c r="T1" i="33"/>
  <c r="K2" i="38"/>
  <c r="P41" i="31"/>
  <c r="P42" i="31"/>
  <c r="P43" i="31"/>
  <c r="P44" i="31"/>
  <c r="P45" i="31"/>
  <c r="O41" i="31"/>
  <c r="O42" i="31"/>
  <c r="O43" i="31"/>
  <c r="O44" i="31"/>
  <c r="O45" i="31"/>
  <c r="N41" i="31"/>
  <c r="N42" i="31"/>
  <c r="K42" i="31" s="1"/>
  <c r="N43" i="31"/>
  <c r="K43" i="31" s="1"/>
  <c r="N44" i="31"/>
  <c r="K44" i="31" s="1"/>
  <c r="N45" i="31"/>
  <c r="K45" i="31" s="1"/>
  <c r="F32" i="25"/>
  <c r="F5" i="69" s="1"/>
  <c r="D35" i="31"/>
  <c r="O30" i="31"/>
  <c r="O31" i="31"/>
  <c r="O32" i="31"/>
  <c r="O33" i="31"/>
  <c r="O34" i="31"/>
  <c r="F31" i="25"/>
  <c r="F4" i="69" s="1"/>
  <c r="D24" i="31"/>
  <c r="O19" i="31"/>
  <c r="O20" i="31"/>
  <c r="O21" i="31"/>
  <c r="O22" i="31"/>
  <c r="O23" i="31"/>
  <c r="M30" i="31"/>
  <c r="M31" i="31"/>
  <c r="M32" i="31"/>
  <c r="M33" i="31"/>
  <c r="M34" i="31"/>
  <c r="M19" i="31"/>
  <c r="M20" i="31"/>
  <c r="M21" i="31"/>
  <c r="M22" i="31"/>
  <c r="M23" i="31"/>
  <c r="P52" i="31"/>
  <c r="P53" i="31"/>
  <c r="P54" i="31"/>
  <c r="P55" i="31"/>
  <c r="P56" i="31"/>
  <c r="N52" i="31"/>
  <c r="K52" i="31" s="1"/>
  <c r="N53" i="31"/>
  <c r="K53" i="31" s="1"/>
  <c r="N54" i="31"/>
  <c r="K54" i="31" s="1"/>
  <c r="N55" i="31"/>
  <c r="K55" i="31" s="1"/>
  <c r="N56" i="31"/>
  <c r="K56" i="31" s="1"/>
  <c r="L56" i="31"/>
  <c r="L55" i="31"/>
  <c r="L54" i="31"/>
  <c r="L53" i="31"/>
  <c r="L52" i="31"/>
  <c r="A52" i="31"/>
  <c r="A53" i="31" s="1"/>
  <c r="A54" i="31" s="1"/>
  <c r="A55" i="31" s="1"/>
  <c r="A56" i="31" s="1"/>
  <c r="A12" i="54"/>
  <c r="P21" i="54" s="1"/>
  <c r="A17" i="54"/>
  <c r="P14" i="54" s="1"/>
  <c r="A32" i="54"/>
  <c r="A33" i="54" s="1"/>
  <c r="A34" i="54" s="1"/>
  <c r="A35" i="54" s="1"/>
  <c r="A36" i="54" s="1"/>
  <c r="P28" i="54" s="1"/>
  <c r="A27" i="54"/>
  <c r="A28" i="54" s="1"/>
  <c r="A22" i="54"/>
  <c r="P48" i="54" s="1"/>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P101" i="54"/>
  <c r="P102" i="54"/>
  <c r="P103" i="54"/>
  <c r="P104" i="54"/>
  <c r="P105" i="54"/>
  <c r="P106" i="54"/>
  <c r="P107" i="54"/>
  <c r="P108" i="54"/>
  <c r="P109" i="54"/>
  <c r="P110" i="54"/>
  <c r="P111" i="54"/>
  <c r="P112" i="54"/>
  <c r="P113" i="54"/>
  <c r="P114" i="54"/>
  <c r="P115" i="54"/>
  <c r="P116" i="54"/>
  <c r="P117" i="54"/>
  <c r="P118" i="54"/>
  <c r="P119" i="54"/>
  <c r="P120" i="54"/>
  <c r="P121" i="54"/>
  <c r="P122" i="54"/>
  <c r="P123" i="54"/>
  <c r="P124" i="54"/>
  <c r="P125" i="54"/>
  <c r="P126" i="54"/>
  <c r="P127" i="54"/>
  <c r="P128" i="54"/>
  <c r="P129" i="54"/>
  <c r="P130" i="54"/>
  <c r="P131" i="54"/>
  <c r="P132" i="54"/>
  <c r="P133" i="54"/>
  <c r="P134" i="54"/>
  <c r="P135" i="54"/>
  <c r="P136" i="54"/>
  <c r="P137" i="54"/>
  <c r="P138" i="54"/>
  <c r="P139" i="54"/>
  <c r="P140" i="54"/>
  <c r="P141" i="54"/>
  <c r="P142" i="54"/>
  <c r="P143" i="54"/>
  <c r="P144" i="54"/>
  <c r="P145" i="54"/>
  <c r="P146" i="54"/>
  <c r="P147" i="54"/>
  <c r="P148" i="54"/>
  <c r="P149" i="54"/>
  <c r="P150" i="54"/>
  <c r="P151" i="54"/>
  <c r="P152" i="54"/>
  <c r="P153" i="54"/>
  <c r="P154" i="54"/>
  <c r="P155" i="54"/>
  <c r="P156" i="54"/>
  <c r="P157" i="54"/>
  <c r="P158" i="54"/>
  <c r="P159" i="54"/>
  <c r="P160" i="54"/>
  <c r="P161" i="54"/>
  <c r="P162" i="54"/>
  <c r="P163" i="54"/>
  <c r="P164" i="54"/>
  <c r="P165" i="54"/>
  <c r="P166" i="54"/>
  <c r="P167" i="54"/>
  <c r="P168" i="54"/>
  <c r="P169" i="54"/>
  <c r="P170" i="54"/>
  <c r="P171" i="54"/>
  <c r="P172" i="54"/>
  <c r="P173" i="54"/>
  <c r="P174" i="54"/>
  <c r="P175" i="54"/>
  <c r="P176" i="54"/>
  <c r="P177" i="54"/>
  <c r="P178" i="54"/>
  <c r="P179" i="54"/>
  <c r="P180" i="54"/>
  <c r="P181" i="54"/>
  <c r="P182" i="54"/>
  <c r="P183" i="54"/>
  <c r="P184" i="54"/>
  <c r="P185" i="54"/>
  <c r="P186" i="54"/>
  <c r="P187" i="54"/>
  <c r="P188" i="54"/>
  <c r="P189" i="54"/>
  <c r="P190" i="54"/>
  <c r="P191" i="54"/>
  <c r="P192" i="54"/>
  <c r="P193" i="54"/>
  <c r="P194" i="54"/>
  <c r="P195" i="54"/>
  <c r="P196" i="54"/>
  <c r="P197" i="54"/>
  <c r="P198" i="54"/>
  <c r="P199" i="54"/>
  <c r="P200" i="54"/>
  <c r="P201" i="54"/>
  <c r="P202" i="54"/>
  <c r="P203" i="54"/>
  <c r="P204" i="54"/>
  <c r="P205" i="54"/>
  <c r="P206" i="54"/>
  <c r="P207" i="54"/>
  <c r="P208" i="54"/>
  <c r="P209" i="54"/>
  <c r="P210" i="54"/>
  <c r="P211" i="54"/>
  <c r="P212" i="54"/>
  <c r="P213" i="54"/>
  <c r="P214" i="54"/>
  <c r="P215" i="54"/>
  <c r="P216" i="54"/>
  <c r="P217" i="54"/>
  <c r="P218" i="54"/>
  <c r="P219" i="54"/>
  <c r="P220" i="54"/>
  <c r="P221" i="54"/>
  <c r="P222" i="54"/>
  <c r="P223" i="54"/>
  <c r="P224" i="54"/>
  <c r="P225" i="54"/>
  <c r="P226" i="54"/>
  <c r="P227" i="54"/>
  <c r="P228" i="54"/>
  <c r="P229" i="54"/>
  <c r="P230" i="54"/>
  <c r="P231" i="54"/>
  <c r="P232" i="54"/>
  <c r="P233" i="54"/>
  <c r="P234" i="54"/>
  <c r="P235" i="54"/>
  <c r="P236" i="54"/>
  <c r="P237" i="54"/>
  <c r="P238" i="54"/>
  <c r="P239" i="54"/>
  <c r="P240" i="54"/>
  <c r="P241" i="54"/>
  <c r="P242" i="54"/>
  <c r="P243" i="54"/>
  <c r="P244" i="54"/>
  <c r="P245" i="54"/>
  <c r="P246" i="54"/>
  <c r="P247" i="54"/>
  <c r="P248" i="54"/>
  <c r="P249" i="54"/>
  <c r="P250" i="54"/>
  <c r="P251" i="54"/>
  <c r="P252" i="54"/>
  <c r="P253" i="54"/>
  <c r="P254" i="54"/>
  <c r="P255" i="54"/>
  <c r="P256" i="54"/>
  <c r="P257" i="54"/>
  <c r="P258" i="54"/>
  <c r="P259" i="54"/>
  <c r="P260" i="54"/>
  <c r="P261" i="54"/>
  <c r="P262" i="54"/>
  <c r="P263" i="54"/>
  <c r="P264" i="54"/>
  <c r="P265" i="54"/>
  <c r="P266" i="54"/>
  <c r="P267" i="54"/>
  <c r="P268" i="54"/>
  <c r="P269" i="54"/>
  <c r="P270" i="54"/>
  <c r="P271" i="54"/>
  <c r="P272" i="54"/>
  <c r="P273" i="54"/>
  <c r="P274" i="54"/>
  <c r="P275" i="54"/>
  <c r="P276" i="54"/>
  <c r="P277" i="54"/>
  <c r="P278" i="54"/>
  <c r="P279" i="54"/>
  <c r="P280" i="54"/>
  <c r="P281" i="54"/>
  <c r="P282" i="54"/>
  <c r="P283" i="54"/>
  <c r="P284" i="54"/>
  <c r="P285" i="54"/>
  <c r="P286" i="54"/>
  <c r="P287" i="54"/>
  <c r="P288" i="54"/>
  <c r="P289" i="54"/>
  <c r="P290" i="54"/>
  <c r="P291" i="54"/>
  <c r="P292" i="54"/>
  <c r="P293" i="54"/>
  <c r="P294" i="54"/>
  <c r="P295" i="54"/>
  <c r="P296" i="54"/>
  <c r="P297" i="54"/>
  <c r="P298" i="54"/>
  <c r="P299" i="54"/>
  <c r="P300" i="54"/>
  <c r="P301" i="54"/>
  <c r="P302" i="54"/>
  <c r="P303" i="54"/>
  <c r="P304" i="54"/>
  <c r="P305" i="54"/>
  <c r="P306" i="54"/>
  <c r="P307" i="54"/>
  <c r="P308" i="54"/>
  <c r="P309" i="54"/>
  <c r="P310" i="54"/>
  <c r="P311" i="54"/>
  <c r="P312" i="54"/>
  <c r="P313" i="54"/>
  <c r="P314" i="54"/>
  <c r="P315" i="54"/>
  <c r="P316" i="54"/>
  <c r="P317" i="54"/>
  <c r="P318" i="54"/>
  <c r="P319" i="54"/>
  <c r="P320" i="54"/>
  <c r="P321" i="54"/>
  <c r="P322" i="54"/>
  <c r="P323" i="54"/>
  <c r="P324" i="54"/>
  <c r="P325" i="54"/>
  <c r="P326" i="54"/>
  <c r="P327" i="54"/>
  <c r="P328" i="54"/>
  <c r="P329" i="54"/>
  <c r="P330" i="54"/>
  <c r="P331" i="54"/>
  <c r="P332" i="54"/>
  <c r="P333" i="54"/>
  <c r="P334" i="54"/>
  <c r="P335" i="54"/>
  <c r="P336" i="54"/>
  <c r="P337" i="54"/>
  <c r="P338" i="54"/>
  <c r="P339" i="54"/>
  <c r="P340" i="54"/>
  <c r="P341" i="54"/>
  <c r="P342" i="54"/>
  <c r="P343" i="54"/>
  <c r="P344" i="54"/>
  <c r="P345" i="54"/>
  <c r="P346" i="54"/>
  <c r="P347" i="54"/>
  <c r="P348" i="54"/>
  <c r="P349" i="54"/>
  <c r="P350" i="54"/>
  <c r="P351" i="54"/>
  <c r="P352" i="54"/>
  <c r="P353" i="54"/>
  <c r="P354" i="54"/>
  <c r="P355" i="54"/>
  <c r="P356" i="54"/>
  <c r="P357" i="54"/>
  <c r="P358" i="54"/>
  <c r="P359" i="54"/>
  <c r="P360" i="54"/>
  <c r="P361" i="54"/>
  <c r="P362" i="54"/>
  <c r="P363" i="54"/>
  <c r="P364" i="54"/>
  <c r="P365" i="54"/>
  <c r="P366" i="54"/>
  <c r="P367" i="54"/>
  <c r="P368" i="54"/>
  <c r="P369" i="54"/>
  <c r="P370" i="54"/>
  <c r="P371" i="54"/>
  <c r="P372" i="54"/>
  <c r="P373" i="54"/>
  <c r="P374" i="54"/>
  <c r="P375" i="54"/>
  <c r="P376" i="54"/>
  <c r="P377" i="54"/>
  <c r="P378" i="54"/>
  <c r="P379" i="54"/>
  <c r="P380" i="54"/>
  <c r="P381" i="54"/>
  <c r="P382" i="54"/>
  <c r="P383" i="54"/>
  <c r="P384" i="54"/>
  <c r="P385" i="54"/>
  <c r="P386" i="54"/>
  <c r="P387" i="54"/>
  <c r="P388" i="54"/>
  <c r="P389" i="54"/>
  <c r="P390" i="54"/>
  <c r="P391" i="54"/>
  <c r="P392" i="54"/>
  <c r="P393" i="54"/>
  <c r="P394" i="54"/>
  <c r="P395" i="54"/>
  <c r="P396" i="54"/>
  <c r="P397" i="54"/>
  <c r="P398" i="54"/>
  <c r="P399" i="54"/>
  <c r="P400" i="54"/>
  <c r="P401" i="54"/>
  <c r="P402" i="54"/>
  <c r="P403" i="54"/>
  <c r="P404" i="54"/>
  <c r="P405" i="54"/>
  <c r="P406" i="54"/>
  <c r="P407" i="54"/>
  <c r="P408" i="54"/>
  <c r="P409" i="54"/>
  <c r="P410" i="54"/>
  <c r="P411" i="54"/>
  <c r="P412" i="54"/>
  <c r="P413" i="54"/>
  <c r="P414" i="54"/>
  <c r="P415" i="54"/>
  <c r="P416" i="54"/>
  <c r="P417" i="54"/>
  <c r="P418" i="54"/>
  <c r="P419" i="54"/>
  <c r="P420" i="54"/>
  <c r="P421" i="54"/>
  <c r="P422" i="54"/>
  <c r="P423" i="54"/>
  <c r="P424" i="54"/>
  <c r="P425" i="54"/>
  <c r="P426" i="54"/>
  <c r="P427" i="54"/>
  <c r="P428" i="54"/>
  <c r="P429" i="54"/>
  <c r="P430" i="54"/>
  <c r="P431" i="54"/>
  <c r="P432" i="54"/>
  <c r="P433" i="54"/>
  <c r="P434" i="54"/>
  <c r="P435" i="54"/>
  <c r="P436" i="54"/>
  <c r="P437" i="54"/>
  <c r="P438" i="54"/>
  <c r="P439" i="54"/>
  <c r="P440" i="54"/>
  <c r="P441" i="54"/>
  <c r="P442" i="54"/>
  <c r="P443" i="54"/>
  <c r="P444" i="54"/>
  <c r="P445" i="54"/>
  <c r="P446" i="54"/>
  <c r="P447" i="54"/>
  <c r="P448" i="54"/>
  <c r="P449" i="54"/>
  <c r="P450" i="54"/>
  <c r="P451" i="54"/>
  <c r="P452" i="54"/>
  <c r="P453" i="54"/>
  <c r="P454" i="54"/>
  <c r="P455" i="54"/>
  <c r="P456" i="54"/>
  <c r="P457" i="54"/>
  <c r="P458" i="54"/>
  <c r="P459" i="54"/>
  <c r="P460" i="54"/>
  <c r="P461" i="54"/>
  <c r="P462" i="54"/>
  <c r="P463" i="54"/>
  <c r="P464" i="54"/>
  <c r="P465" i="54"/>
  <c r="P466" i="54"/>
  <c r="P467" i="54"/>
  <c r="P468" i="54"/>
  <c r="P469" i="54"/>
  <c r="P470" i="54"/>
  <c r="P471" i="54"/>
  <c r="P472" i="54"/>
  <c r="P473" i="54"/>
  <c r="P474" i="54"/>
  <c r="P475" i="54"/>
  <c r="P476" i="54"/>
  <c r="P477" i="54"/>
  <c r="P478" i="54"/>
  <c r="P479" i="54"/>
  <c r="P480" i="54"/>
  <c r="P481" i="54"/>
  <c r="P482" i="54"/>
  <c r="P483" i="54"/>
  <c r="P484" i="54"/>
  <c r="P485" i="54"/>
  <c r="P486" i="54"/>
  <c r="P487" i="54"/>
  <c r="P488" i="54"/>
  <c r="P489" i="54"/>
  <c r="P490" i="54"/>
  <c r="P491" i="54"/>
  <c r="P492" i="54"/>
  <c r="P493" i="54"/>
  <c r="P494" i="54"/>
  <c r="P495" i="54"/>
  <c r="P496" i="54"/>
  <c r="P497" i="54"/>
  <c r="P498" i="54"/>
  <c r="P499" i="54"/>
  <c r="P500" i="54"/>
  <c r="P501" i="54"/>
  <c r="P502" i="54"/>
  <c r="P503" i="54"/>
  <c r="P504" i="54"/>
  <c r="P505" i="54"/>
  <c r="P506" i="54"/>
  <c r="P507" i="54"/>
  <c r="P508" i="54"/>
  <c r="P509" i="54"/>
  <c r="P510" i="54"/>
  <c r="P511" i="54"/>
  <c r="P512" i="54"/>
  <c r="P513" i="54"/>
  <c r="P514" i="54"/>
  <c r="P515" i="54"/>
  <c r="P516" i="54"/>
  <c r="P517" i="54"/>
  <c r="P518" i="54"/>
  <c r="P519" i="54"/>
  <c r="P520" i="54"/>
  <c r="P521" i="54"/>
  <c r="P522" i="54"/>
  <c r="P523" i="54"/>
  <c r="P524" i="54"/>
  <c r="P525" i="54"/>
  <c r="P526" i="54"/>
  <c r="P527" i="54"/>
  <c r="P528" i="54"/>
  <c r="P529" i="54"/>
  <c r="P530" i="54"/>
  <c r="P531" i="54"/>
  <c r="P532" i="54"/>
  <c r="P533" i="54"/>
  <c r="P534" i="54"/>
  <c r="P535" i="54"/>
  <c r="P536" i="54"/>
  <c r="P537" i="54"/>
  <c r="P538" i="54"/>
  <c r="P539" i="54"/>
  <c r="P540" i="54"/>
  <c r="P541" i="54"/>
  <c r="P542" i="54"/>
  <c r="P543" i="54"/>
  <c r="P544" i="54"/>
  <c r="P545" i="54"/>
  <c r="P546" i="54"/>
  <c r="P547" i="54"/>
  <c r="P548" i="54"/>
  <c r="P549" i="54"/>
  <c r="P550" i="54"/>
  <c r="P551" i="54"/>
  <c r="P552" i="54"/>
  <c r="P553" i="54"/>
  <c r="P554" i="54"/>
  <c r="P555" i="54"/>
  <c r="P556" i="54"/>
  <c r="P557" i="54"/>
  <c r="P558" i="54"/>
  <c r="P559" i="54"/>
  <c r="P560" i="54"/>
  <c r="P561" i="54"/>
  <c r="P562" i="54"/>
  <c r="P563" i="54"/>
  <c r="P564" i="54"/>
  <c r="P565" i="54"/>
  <c r="P566" i="54"/>
  <c r="P567" i="54"/>
  <c r="P568" i="54"/>
  <c r="P569" i="54"/>
  <c r="P570" i="54"/>
  <c r="P571" i="54"/>
  <c r="P572" i="54"/>
  <c r="P573" i="54"/>
  <c r="P574" i="54"/>
  <c r="P575" i="54"/>
  <c r="P576" i="54"/>
  <c r="P577" i="54"/>
  <c r="P578" i="54"/>
  <c r="P579" i="54"/>
  <c r="P580" i="54"/>
  <c r="P581" i="54"/>
  <c r="P582" i="54"/>
  <c r="P583" i="54"/>
  <c r="P584" i="54"/>
  <c r="P585" i="54"/>
  <c r="P586" i="54"/>
  <c r="P587" i="54"/>
  <c r="P588" i="54"/>
  <c r="P589" i="54"/>
  <c r="P590" i="54"/>
  <c r="P591" i="54"/>
  <c r="P592" i="54"/>
  <c r="P593" i="54"/>
  <c r="P594" i="54"/>
  <c r="P595" i="54"/>
  <c r="P596" i="54"/>
  <c r="P597" i="54"/>
  <c r="P598" i="54"/>
  <c r="P599" i="54"/>
  <c r="P600" i="54"/>
  <c r="P601" i="54"/>
  <c r="P602" i="54"/>
  <c r="P603" i="54"/>
  <c r="P604" i="54"/>
  <c r="P605" i="54"/>
  <c r="P606" i="54"/>
  <c r="P607" i="54"/>
  <c r="P608" i="54"/>
  <c r="P609" i="54"/>
  <c r="P610" i="54"/>
  <c r="P611" i="54"/>
  <c r="P612" i="54"/>
  <c r="P613" i="54"/>
  <c r="P614" i="54"/>
  <c r="P615" i="54"/>
  <c r="P616" i="54"/>
  <c r="P617" i="54"/>
  <c r="P618" i="54"/>
  <c r="P619" i="54"/>
  <c r="P620" i="54"/>
  <c r="P621" i="54"/>
  <c r="P622" i="54"/>
  <c r="P623" i="54"/>
  <c r="P624" i="54"/>
  <c r="P625" i="54"/>
  <c r="P626" i="54"/>
  <c r="P627" i="54"/>
  <c r="P628" i="54"/>
  <c r="P629" i="54"/>
  <c r="P630" i="54"/>
  <c r="P631" i="54"/>
  <c r="P632" i="54"/>
  <c r="P633" i="54"/>
  <c r="P634" i="54"/>
  <c r="P635" i="54"/>
  <c r="P636" i="54"/>
  <c r="P637" i="54"/>
  <c r="P638" i="54"/>
  <c r="P639" i="54"/>
  <c r="P640" i="54"/>
  <c r="P641" i="54"/>
  <c r="P642" i="54"/>
  <c r="P643" i="54"/>
  <c r="P644" i="54"/>
  <c r="P645" i="54"/>
  <c r="P646" i="54"/>
  <c r="P647" i="54"/>
  <c r="P648" i="54"/>
  <c r="P649" i="54"/>
  <c r="P650" i="54"/>
  <c r="P651" i="54"/>
  <c r="P652" i="54"/>
  <c r="P653" i="54"/>
  <c r="P654" i="54"/>
  <c r="P655" i="54"/>
  <c r="P656" i="54"/>
  <c r="P657" i="54"/>
  <c r="P658" i="54"/>
  <c r="P659" i="54"/>
  <c r="P660" i="54"/>
  <c r="P661" i="54"/>
  <c r="P662" i="54"/>
  <c r="P663" i="54"/>
  <c r="P664" i="54"/>
  <c r="P665" i="54"/>
  <c r="P666" i="54"/>
  <c r="P667" i="54"/>
  <c r="P668" i="54"/>
  <c r="P669" i="54"/>
  <c r="P670" i="54"/>
  <c r="P671" i="54"/>
  <c r="P672" i="54"/>
  <c r="P673" i="54"/>
  <c r="P674" i="54"/>
  <c r="P675" i="54"/>
  <c r="P676" i="54"/>
  <c r="P677" i="54"/>
  <c r="P678" i="54"/>
  <c r="P679" i="54"/>
  <c r="P680" i="54"/>
  <c r="P681" i="54"/>
  <c r="P682" i="54"/>
  <c r="P683" i="54"/>
  <c r="P684" i="54"/>
  <c r="P685" i="54"/>
  <c r="P686" i="54"/>
  <c r="P687" i="54"/>
  <c r="P688" i="54"/>
  <c r="P689" i="54"/>
  <c r="P690" i="54"/>
  <c r="P691" i="54"/>
  <c r="P692" i="54"/>
  <c r="P693" i="54"/>
  <c r="P694" i="54"/>
  <c r="P695" i="54"/>
  <c r="P696" i="54"/>
  <c r="P697" i="54"/>
  <c r="P698" i="54"/>
  <c r="P699" i="54"/>
  <c r="P700" i="54"/>
  <c r="P701" i="54"/>
  <c r="P702" i="54"/>
  <c r="P703" i="54"/>
  <c r="P704" i="54"/>
  <c r="P705" i="54"/>
  <c r="P706" i="54"/>
  <c r="P707" i="54"/>
  <c r="P708" i="54"/>
  <c r="P709" i="54"/>
  <c r="P710" i="54"/>
  <c r="P711" i="54"/>
  <c r="P712" i="54"/>
  <c r="P713" i="54"/>
  <c r="P714" i="54"/>
  <c r="P715" i="54"/>
  <c r="P716" i="54"/>
  <c r="P717" i="54"/>
  <c r="P718" i="54"/>
  <c r="P719" i="54"/>
  <c r="P720" i="54"/>
  <c r="P721" i="54"/>
  <c r="P722" i="54"/>
  <c r="P723" i="54"/>
  <c r="P724" i="54"/>
  <c r="P725" i="54"/>
  <c r="P726" i="54"/>
  <c r="P727" i="54"/>
  <c r="P728" i="54"/>
  <c r="P729" i="54"/>
  <c r="P730" i="54"/>
  <c r="P731" i="54"/>
  <c r="P732" i="54"/>
  <c r="P733" i="54"/>
  <c r="P734" i="54"/>
  <c r="P735" i="54"/>
  <c r="P736" i="54"/>
  <c r="P737" i="54"/>
  <c r="P738" i="54"/>
  <c r="P739" i="54"/>
  <c r="P740" i="54"/>
  <c r="P741" i="54"/>
  <c r="P742" i="54"/>
  <c r="P743" i="54"/>
  <c r="P744" i="54"/>
  <c r="P745" i="54"/>
  <c r="P746" i="54"/>
  <c r="P747" i="54"/>
  <c r="P748" i="54"/>
  <c r="P749" i="54"/>
  <c r="P750" i="54"/>
  <c r="P751" i="54"/>
  <c r="P752" i="54"/>
  <c r="P753" i="54"/>
  <c r="P754" i="54"/>
  <c r="P755" i="54"/>
  <c r="P756" i="54"/>
  <c r="P757" i="54"/>
  <c r="P758" i="54"/>
  <c r="P759" i="54"/>
  <c r="P760" i="54"/>
  <c r="P761" i="54"/>
  <c r="P762" i="54"/>
  <c r="P763" i="54"/>
  <c r="P764" i="54"/>
  <c r="P765" i="54"/>
  <c r="P766" i="54"/>
  <c r="P767" i="54"/>
  <c r="P768" i="54"/>
  <c r="P769" i="54"/>
  <c r="P770" i="54"/>
  <c r="P771" i="54"/>
  <c r="P772" i="54"/>
  <c r="P773" i="54"/>
  <c r="P774" i="54"/>
  <c r="P775" i="54"/>
  <c r="P776" i="54"/>
  <c r="P777" i="54"/>
  <c r="P778" i="54"/>
  <c r="P779" i="54"/>
  <c r="P780" i="54"/>
  <c r="P781" i="54"/>
  <c r="P782" i="54"/>
  <c r="P783" i="54"/>
  <c r="P784" i="54"/>
  <c r="P785" i="54"/>
  <c r="P786" i="54"/>
  <c r="P787" i="54"/>
  <c r="P788" i="54"/>
  <c r="P789" i="54"/>
  <c r="P790" i="54"/>
  <c r="P791" i="54"/>
  <c r="P792" i="54"/>
  <c r="P793" i="54"/>
  <c r="P794" i="54"/>
  <c r="P795" i="54"/>
  <c r="P796" i="54"/>
  <c r="P797" i="54"/>
  <c r="P798" i="54"/>
  <c r="P799" i="54"/>
  <c r="P800" i="54"/>
  <c r="P801" i="54"/>
  <c r="P802" i="54"/>
  <c r="P803" i="54"/>
  <c r="P804" i="54"/>
  <c r="P805" i="54"/>
  <c r="P806" i="54"/>
  <c r="P807" i="54"/>
  <c r="P808" i="54"/>
  <c r="P809" i="54"/>
  <c r="P810" i="54"/>
  <c r="P811" i="54"/>
  <c r="P812" i="54"/>
  <c r="P813" i="54"/>
  <c r="P814" i="54"/>
  <c r="P815" i="54"/>
  <c r="P816" i="54"/>
  <c r="P817" i="54"/>
  <c r="P818" i="54"/>
  <c r="P819" i="54"/>
  <c r="P820" i="54"/>
  <c r="P821" i="54"/>
  <c r="P822" i="54"/>
  <c r="P823" i="54"/>
  <c r="P824" i="54"/>
  <c r="P825" i="54"/>
  <c r="P826" i="54"/>
  <c r="P827" i="54"/>
  <c r="P828" i="54"/>
  <c r="P829" i="54"/>
  <c r="P830" i="54"/>
  <c r="P831" i="54"/>
  <c r="P832" i="54"/>
  <c r="P833" i="54"/>
  <c r="P834" i="54"/>
  <c r="P835" i="54"/>
  <c r="P836" i="54"/>
  <c r="P837" i="54"/>
  <c r="P838" i="54"/>
  <c r="P839" i="54"/>
  <c r="P840" i="54"/>
  <c r="P841" i="54"/>
  <c r="P842" i="54"/>
  <c r="P843" i="54"/>
  <c r="P844" i="54"/>
  <c r="P845" i="54"/>
  <c r="P846" i="54"/>
  <c r="P847" i="54"/>
  <c r="P848" i="54"/>
  <c r="P849" i="54"/>
  <c r="P850" i="54"/>
  <c r="P851" i="54"/>
  <c r="P852" i="54"/>
  <c r="P853" i="54"/>
  <c r="P854" i="54"/>
  <c r="P855" i="54"/>
  <c r="P856" i="54"/>
  <c r="P857" i="54"/>
  <c r="P858" i="54"/>
  <c r="P859" i="54"/>
  <c r="P860" i="54"/>
  <c r="P861" i="54"/>
  <c r="P862" i="54"/>
  <c r="P863" i="54"/>
  <c r="P864" i="54"/>
  <c r="P865" i="54"/>
  <c r="P866" i="54"/>
  <c r="P867" i="54"/>
  <c r="P868" i="54"/>
  <c r="P869" i="54"/>
  <c r="P870" i="54"/>
  <c r="P871" i="54"/>
  <c r="P872" i="54"/>
  <c r="P873" i="54"/>
  <c r="P874" i="54"/>
  <c r="P875" i="54"/>
  <c r="P876" i="54"/>
  <c r="P877" i="54"/>
  <c r="P878" i="54"/>
  <c r="P879" i="54"/>
  <c r="P880" i="54"/>
  <c r="P881" i="54"/>
  <c r="P882" i="54"/>
  <c r="P883" i="54"/>
  <c r="P884" i="54"/>
  <c r="P885" i="54"/>
  <c r="P886" i="54"/>
  <c r="P887" i="54"/>
  <c r="P888" i="54"/>
  <c r="P889" i="54"/>
  <c r="P890" i="54"/>
  <c r="P891" i="54"/>
  <c r="P892" i="54"/>
  <c r="P893" i="54"/>
  <c r="P894" i="54"/>
  <c r="P895" i="54"/>
  <c r="P896" i="54"/>
  <c r="P897" i="54"/>
  <c r="P898" i="54"/>
  <c r="P899" i="54"/>
  <c r="P900" i="54"/>
  <c r="P901" i="54"/>
  <c r="P902" i="54"/>
  <c r="P903" i="54"/>
  <c r="P904" i="54"/>
  <c r="P905" i="54"/>
  <c r="P906" i="54"/>
  <c r="P907" i="54"/>
  <c r="P908" i="54"/>
  <c r="P909" i="54"/>
  <c r="P910" i="54"/>
  <c r="P911" i="54"/>
  <c r="P912" i="54"/>
  <c r="P913" i="54"/>
  <c r="P914" i="54"/>
  <c r="P915" i="54"/>
  <c r="P916" i="54"/>
  <c r="P917" i="54"/>
  <c r="P918" i="54"/>
  <c r="P919" i="54"/>
  <c r="P920" i="54"/>
  <c r="P921" i="54"/>
  <c r="P922" i="54"/>
  <c r="P923" i="54"/>
  <c r="P924" i="54"/>
  <c r="P925" i="54"/>
  <c r="P926" i="54"/>
  <c r="P927" i="54"/>
  <c r="P928" i="54"/>
  <c r="P929" i="54"/>
  <c r="P930" i="54"/>
  <c r="P931" i="54"/>
  <c r="P932" i="54"/>
  <c r="P933" i="54"/>
  <c r="P934" i="54"/>
  <c r="P935" i="54"/>
  <c r="P936" i="54"/>
  <c r="P937" i="54"/>
  <c r="P938" i="54"/>
  <c r="P939" i="54"/>
  <c r="P940" i="54"/>
  <c r="P941" i="54"/>
  <c r="P942" i="54"/>
  <c r="P943" i="54"/>
  <c r="P944" i="54"/>
  <c r="P945" i="54"/>
  <c r="P946" i="54"/>
  <c r="P947" i="54"/>
  <c r="P948" i="54"/>
  <c r="P949" i="54"/>
  <c r="P950" i="54"/>
  <c r="P951" i="54"/>
  <c r="P952" i="54"/>
  <c r="P953" i="54"/>
  <c r="P954" i="54"/>
  <c r="P955" i="54"/>
  <c r="P956" i="54"/>
  <c r="P957" i="54"/>
  <c r="P958" i="54"/>
  <c r="P959" i="54"/>
  <c r="P960" i="54"/>
  <c r="P961" i="54"/>
  <c r="P962" i="54"/>
  <c r="P963" i="54"/>
  <c r="P964" i="54"/>
  <c r="P965" i="54"/>
  <c r="P966" i="54"/>
  <c r="P967" i="54"/>
  <c r="P968" i="54"/>
  <c r="P969" i="54"/>
  <c r="P970" i="54"/>
  <c r="P971" i="54"/>
  <c r="P972" i="54"/>
  <c r="P973" i="54"/>
  <c r="P974" i="54"/>
  <c r="P975" i="54"/>
  <c r="P976" i="54"/>
  <c r="P977" i="54"/>
  <c r="P978" i="54"/>
  <c r="P979" i="54"/>
  <c r="P980" i="54"/>
  <c r="P981" i="54"/>
  <c r="P982" i="54"/>
  <c r="P983" i="54"/>
  <c r="P984" i="54"/>
  <c r="P985" i="54"/>
  <c r="P986" i="54"/>
  <c r="P987" i="54"/>
  <c r="P988" i="54"/>
  <c r="P989" i="54"/>
  <c r="P990" i="54"/>
  <c r="P991" i="54"/>
  <c r="P992" i="54"/>
  <c r="P993" i="54"/>
  <c r="P994" i="54"/>
  <c r="P995" i="54"/>
  <c r="P996" i="54"/>
  <c r="P997" i="54"/>
  <c r="P998" i="54"/>
  <c r="P999" i="54"/>
  <c r="P1000" i="54"/>
  <c r="P1001" i="54"/>
  <c r="P1002" i="54"/>
  <c r="P1003" i="54"/>
  <c r="P1004" i="54"/>
  <c r="P1005" i="54"/>
  <c r="P1006" i="54"/>
  <c r="P1007" i="54"/>
  <c r="P1008" i="54"/>
  <c r="P1009" i="54"/>
  <c r="P1010" i="54"/>
  <c r="P1011" i="54"/>
  <c r="Q43" i="54"/>
  <c r="Q13" i="54" a="1"/>
  <c r="Q13" i="54" s="1"/>
  <c r="Q14" i="54" a="1"/>
  <c r="Q14" i="54" s="1"/>
  <c r="Q15" i="54" a="1"/>
  <c r="Q15" i="54" s="1"/>
  <c r="Q16" i="54" a="1"/>
  <c r="Q16" i="54" s="1"/>
  <c r="Q17" i="54" a="1"/>
  <c r="Q17" i="54" s="1"/>
  <c r="Q18" i="54" a="1"/>
  <c r="Q18" i="54" s="1"/>
  <c r="Q19" i="54" a="1"/>
  <c r="Q19" i="54" s="1"/>
  <c r="Q20" i="54" a="1"/>
  <c r="Q20" i="54" s="1"/>
  <c r="Q21" i="54" a="1"/>
  <c r="Q21" i="54" s="1"/>
  <c r="Q22" i="54" a="1"/>
  <c r="Q22" i="54" s="1"/>
  <c r="Q23" i="54" a="1"/>
  <c r="Q23" i="54" s="1"/>
  <c r="Q24" i="54" a="1"/>
  <c r="Q24" i="54" s="1"/>
  <c r="Q25" i="54" a="1"/>
  <c r="Q25" i="54" s="1"/>
  <c r="Q26" i="54" a="1"/>
  <c r="Q26" i="54" s="1"/>
  <c r="Q27" i="54" a="1"/>
  <c r="Q27" i="54" s="1"/>
  <c r="Q28" i="54" a="1"/>
  <c r="Q28" i="54" s="1"/>
  <c r="Q29" i="54" a="1"/>
  <c r="Q29" i="54" s="1"/>
  <c r="Q30" i="54" a="1"/>
  <c r="Q30" i="54" s="1"/>
  <c r="Q31" i="54" a="1"/>
  <c r="Q31" i="54" s="1"/>
  <c r="Q12" i="54" a="1"/>
  <c r="Q12" i="54" s="1"/>
  <c r="K9" i="56"/>
  <c r="K16" i="56"/>
  <c r="K15" i="56"/>
  <c r="K14" i="56"/>
  <c r="K13" i="56"/>
  <c r="K12" i="56"/>
  <c r="K11" i="56"/>
  <c r="K10" i="56"/>
  <c r="K8" i="56"/>
  <c r="J8" i="56"/>
  <c r="K7" i="56"/>
  <c r="J7" i="56"/>
  <c r="K6" i="56"/>
  <c r="J6" i="56"/>
  <c r="K5" i="56"/>
  <c r="J5" i="56"/>
  <c r="K4" i="56"/>
  <c r="J4" i="56"/>
  <c r="K3" i="56"/>
  <c r="J3" i="56"/>
  <c r="K8" i="30"/>
  <c r="J8" i="30"/>
  <c r="J9" i="30"/>
  <c r="K7" i="30"/>
  <c r="J7" i="30"/>
  <c r="K6" i="30"/>
  <c r="J6" i="30"/>
  <c r="K5" i="30"/>
  <c r="J5" i="30"/>
  <c r="K4" i="30"/>
  <c r="J4" i="30"/>
  <c r="K3" i="30"/>
  <c r="J3" i="30"/>
  <c r="L9" i="26"/>
  <c r="J11" i="26"/>
  <c r="H15" i="60"/>
  <c r="K809" i="55"/>
  <c r="L809" i="55" s="1"/>
  <c r="K810" i="55"/>
  <c r="L810" i="55" s="1"/>
  <c r="K811" i="55"/>
  <c r="L811" i="55" s="1"/>
  <c r="K812" i="55"/>
  <c r="L812" i="55" s="1"/>
  <c r="K813" i="55"/>
  <c r="L813" i="55" s="1"/>
  <c r="K814" i="55"/>
  <c r="L814" i="55" s="1"/>
  <c r="K815" i="55"/>
  <c r="L815" i="55" s="1"/>
  <c r="K816" i="55"/>
  <c r="L816" i="55" s="1"/>
  <c r="K817" i="55"/>
  <c r="L817" i="55" s="1"/>
  <c r="K818" i="55"/>
  <c r="L818" i="55" s="1"/>
  <c r="K819" i="55"/>
  <c r="L819" i="55" s="1"/>
  <c r="K820" i="55"/>
  <c r="L820" i="55" s="1"/>
  <c r="K821" i="55"/>
  <c r="L821" i="55" s="1"/>
  <c r="K822" i="55"/>
  <c r="L822" i="55" s="1"/>
  <c r="K823" i="55"/>
  <c r="L823" i="55" s="1"/>
  <c r="K824" i="55"/>
  <c r="L824" i="55" s="1"/>
  <c r="K825" i="55"/>
  <c r="L825" i="55" s="1"/>
  <c r="K826" i="55"/>
  <c r="L826" i="55" s="1"/>
  <c r="K827" i="55"/>
  <c r="L827" i="55" s="1"/>
  <c r="K828" i="55"/>
  <c r="L828" i="55" s="1"/>
  <c r="K829" i="55"/>
  <c r="L829" i="55" s="1"/>
  <c r="K830" i="55"/>
  <c r="L830" i="55" s="1"/>
  <c r="K831" i="55"/>
  <c r="L831" i="55" s="1"/>
  <c r="K832" i="55"/>
  <c r="L832" i="55" s="1"/>
  <c r="K833" i="55"/>
  <c r="L833" i="55" s="1"/>
  <c r="K834" i="55"/>
  <c r="L834" i="55" s="1"/>
  <c r="K835" i="55"/>
  <c r="L835" i="55" s="1"/>
  <c r="K836" i="55"/>
  <c r="L836" i="55" s="1"/>
  <c r="K837" i="55"/>
  <c r="L837" i="55" s="1"/>
  <c r="K838" i="55"/>
  <c r="L838" i="55" s="1"/>
  <c r="K839" i="55"/>
  <c r="L839" i="55" s="1"/>
  <c r="K840" i="55"/>
  <c r="L840" i="55" s="1"/>
  <c r="K841" i="55"/>
  <c r="L841" i="55" s="1"/>
  <c r="K842" i="55"/>
  <c r="L842" i="55" s="1"/>
  <c r="K843" i="55"/>
  <c r="L843" i="55" s="1"/>
  <c r="K844" i="55"/>
  <c r="L844" i="55" s="1"/>
  <c r="K845" i="55"/>
  <c r="L845" i="55" s="1"/>
  <c r="K846" i="55"/>
  <c r="L846" i="55" s="1"/>
  <c r="K847" i="55"/>
  <c r="L847" i="55" s="1"/>
  <c r="K848" i="55"/>
  <c r="L848" i="55" s="1"/>
  <c r="K849" i="55"/>
  <c r="L849" i="55" s="1"/>
  <c r="K850" i="55"/>
  <c r="L850" i="55" s="1"/>
  <c r="K851" i="55"/>
  <c r="L851" i="55" s="1"/>
  <c r="K852" i="55"/>
  <c r="L852" i="55" s="1"/>
  <c r="K853" i="55"/>
  <c r="L853" i="55" s="1"/>
  <c r="K854" i="55"/>
  <c r="L854" i="55" s="1"/>
  <c r="K855" i="55"/>
  <c r="L855" i="55" s="1"/>
  <c r="K856" i="55"/>
  <c r="L856" i="55" s="1"/>
  <c r="K857" i="55"/>
  <c r="L857" i="55" s="1"/>
  <c r="K858" i="55"/>
  <c r="L858" i="55" s="1"/>
  <c r="K859" i="55"/>
  <c r="L859" i="55" s="1"/>
  <c r="K860" i="55"/>
  <c r="L860" i="55" s="1"/>
  <c r="K861" i="55"/>
  <c r="L861" i="55" s="1"/>
  <c r="K862" i="55"/>
  <c r="L862" i="55" s="1"/>
  <c r="K863" i="55"/>
  <c r="L863" i="55" s="1"/>
  <c r="K864" i="55"/>
  <c r="L864" i="55" s="1"/>
  <c r="K865" i="55"/>
  <c r="L865" i="55" s="1"/>
  <c r="K866" i="55"/>
  <c r="L866" i="55" s="1"/>
  <c r="K867" i="55"/>
  <c r="L867" i="55" s="1"/>
  <c r="K868" i="55"/>
  <c r="L868" i="55" s="1"/>
  <c r="K869" i="55"/>
  <c r="L869" i="55" s="1"/>
  <c r="K870" i="55"/>
  <c r="L870" i="55" s="1"/>
  <c r="K871" i="55"/>
  <c r="L871" i="55" s="1"/>
  <c r="K872" i="55"/>
  <c r="L872" i="55" s="1"/>
  <c r="K873" i="55"/>
  <c r="L873" i="55" s="1"/>
  <c r="K874" i="55"/>
  <c r="L874" i="55" s="1"/>
  <c r="K875" i="55"/>
  <c r="L875" i="55" s="1"/>
  <c r="K876" i="55"/>
  <c r="L876" i="55" s="1"/>
  <c r="K877" i="55"/>
  <c r="L877" i="55" s="1"/>
  <c r="K878" i="55"/>
  <c r="L878" i="55" s="1"/>
  <c r="K879" i="55"/>
  <c r="L879" i="55" s="1"/>
  <c r="K880" i="55"/>
  <c r="L880" i="55" s="1"/>
  <c r="K881" i="55"/>
  <c r="L881" i="55" s="1"/>
  <c r="K882" i="55"/>
  <c r="L882" i="55" s="1"/>
  <c r="K883" i="55"/>
  <c r="L883" i="55" s="1"/>
  <c r="K884" i="55"/>
  <c r="L884" i="55" s="1"/>
  <c r="K885" i="55"/>
  <c r="L885" i="55" s="1"/>
  <c r="K886" i="55"/>
  <c r="L886" i="55" s="1"/>
  <c r="K887" i="55"/>
  <c r="L887" i="55" s="1"/>
  <c r="K888" i="55"/>
  <c r="L888" i="55" s="1"/>
  <c r="K889" i="55"/>
  <c r="L889" i="55" s="1"/>
  <c r="K890" i="55"/>
  <c r="L890" i="55" s="1"/>
  <c r="K891" i="55"/>
  <c r="L891" i="55" s="1"/>
  <c r="K892" i="55"/>
  <c r="L892" i="55" s="1"/>
  <c r="K893" i="55"/>
  <c r="L893" i="55" s="1"/>
  <c r="K894" i="55"/>
  <c r="L894" i="55" s="1"/>
  <c r="K895" i="55"/>
  <c r="L895" i="55" s="1"/>
  <c r="K896" i="55"/>
  <c r="L896" i="55" s="1"/>
  <c r="K897" i="55"/>
  <c r="L897" i="55" s="1"/>
  <c r="K898" i="55"/>
  <c r="L898" i="55" s="1"/>
  <c r="K899" i="55"/>
  <c r="L899" i="55" s="1"/>
  <c r="K900" i="55"/>
  <c r="L900" i="55" s="1"/>
  <c r="K901" i="55"/>
  <c r="L901" i="55" s="1"/>
  <c r="K902" i="55"/>
  <c r="L902" i="55" s="1"/>
  <c r="K903" i="55"/>
  <c r="L903" i="55" s="1"/>
  <c r="K904" i="55"/>
  <c r="L904" i="55" s="1"/>
  <c r="K905" i="55"/>
  <c r="L905" i="55" s="1"/>
  <c r="K906" i="55"/>
  <c r="L906" i="55" s="1"/>
  <c r="K907" i="55"/>
  <c r="L907" i="55" s="1"/>
  <c r="K908" i="55"/>
  <c r="L908" i="55" s="1"/>
  <c r="K909" i="55"/>
  <c r="L909" i="55" s="1"/>
  <c r="K910" i="55"/>
  <c r="L910" i="55" s="1"/>
  <c r="K911" i="55"/>
  <c r="L911" i="55" s="1"/>
  <c r="K912" i="55"/>
  <c r="L912" i="55" s="1"/>
  <c r="K913" i="55"/>
  <c r="L913" i="55" s="1"/>
  <c r="K914" i="55"/>
  <c r="L914" i="55" s="1"/>
  <c r="K915" i="55"/>
  <c r="L915" i="55" s="1"/>
  <c r="K916" i="55"/>
  <c r="L916" i="55" s="1"/>
  <c r="K917" i="55"/>
  <c r="L917" i="55" s="1"/>
  <c r="K918" i="55"/>
  <c r="L918" i="55" s="1"/>
  <c r="K919" i="55"/>
  <c r="L919" i="55" s="1"/>
  <c r="K920" i="55"/>
  <c r="L920" i="55" s="1"/>
  <c r="K921" i="55"/>
  <c r="L921" i="55" s="1"/>
  <c r="K922" i="55"/>
  <c r="L922" i="55" s="1"/>
  <c r="K923" i="55"/>
  <c r="L923" i="55" s="1"/>
  <c r="K924" i="55"/>
  <c r="L924" i="55" s="1"/>
  <c r="K925" i="55"/>
  <c r="L925" i="55" s="1"/>
  <c r="K926" i="55"/>
  <c r="L926" i="55" s="1"/>
  <c r="K927" i="55"/>
  <c r="L927" i="55" s="1"/>
  <c r="K928" i="55"/>
  <c r="L928" i="55" s="1"/>
  <c r="K929" i="55"/>
  <c r="L929" i="55" s="1"/>
  <c r="K930" i="55"/>
  <c r="L930" i="55" s="1"/>
  <c r="K931" i="55"/>
  <c r="L931" i="55" s="1"/>
  <c r="K932" i="55"/>
  <c r="L932" i="55" s="1"/>
  <c r="K933" i="55"/>
  <c r="L933" i="55" s="1"/>
  <c r="K934" i="55"/>
  <c r="L934" i="55" s="1"/>
  <c r="K935" i="55"/>
  <c r="L935" i="55" s="1"/>
  <c r="K936" i="55"/>
  <c r="L936" i="55" s="1"/>
  <c r="K937" i="55"/>
  <c r="L937" i="55" s="1"/>
  <c r="K938" i="55"/>
  <c r="L938" i="55" s="1"/>
  <c r="K939" i="55"/>
  <c r="L939" i="55" s="1"/>
  <c r="K940" i="55"/>
  <c r="L940" i="55" s="1"/>
  <c r="K941" i="55"/>
  <c r="L941" i="55" s="1"/>
  <c r="K942" i="55"/>
  <c r="L942" i="55" s="1"/>
  <c r="K943" i="55"/>
  <c r="L943" i="55" s="1"/>
  <c r="K944" i="55"/>
  <c r="L944" i="55" s="1"/>
  <c r="K945" i="55"/>
  <c r="L945" i="55" s="1"/>
  <c r="K946" i="55"/>
  <c r="L946" i="55" s="1"/>
  <c r="K947" i="55"/>
  <c r="L947" i="55" s="1"/>
  <c r="K948" i="55"/>
  <c r="L948" i="55" s="1"/>
  <c r="K949" i="55"/>
  <c r="L949" i="55" s="1"/>
  <c r="K950" i="55"/>
  <c r="L950" i="55" s="1"/>
  <c r="K951" i="55"/>
  <c r="L951" i="55" s="1"/>
  <c r="K952" i="55"/>
  <c r="L952" i="55" s="1"/>
  <c r="K953" i="55"/>
  <c r="L953" i="55" s="1"/>
  <c r="K954" i="55"/>
  <c r="L954" i="55" s="1"/>
  <c r="K955" i="55"/>
  <c r="L955" i="55" s="1"/>
  <c r="K956" i="55"/>
  <c r="L956" i="55" s="1"/>
  <c r="K957" i="55"/>
  <c r="L957" i="55" s="1"/>
  <c r="K958" i="55"/>
  <c r="L958" i="55" s="1"/>
  <c r="K959" i="55"/>
  <c r="L959" i="55" s="1"/>
  <c r="K960" i="55"/>
  <c r="L960" i="55" s="1"/>
  <c r="K961" i="55"/>
  <c r="L961" i="55" s="1"/>
  <c r="K962" i="55"/>
  <c r="L962" i="55" s="1"/>
  <c r="K963" i="55"/>
  <c r="L963" i="55" s="1"/>
  <c r="K964" i="55"/>
  <c r="L964" i="55" s="1"/>
  <c r="K965" i="55"/>
  <c r="L965" i="55" s="1"/>
  <c r="K966" i="55"/>
  <c r="L966" i="55" s="1"/>
  <c r="K967" i="55"/>
  <c r="L967" i="55" s="1"/>
  <c r="K968" i="55"/>
  <c r="L968" i="55" s="1"/>
  <c r="K969" i="55"/>
  <c r="L969" i="55" s="1"/>
  <c r="K970" i="55"/>
  <c r="L970" i="55" s="1"/>
  <c r="K971" i="55"/>
  <c r="L971" i="55" s="1"/>
  <c r="K972" i="55"/>
  <c r="L972" i="55" s="1"/>
  <c r="K973" i="55"/>
  <c r="L973" i="55" s="1"/>
  <c r="K974" i="55"/>
  <c r="L974" i="55" s="1"/>
  <c r="K975" i="55"/>
  <c r="L975" i="55" s="1"/>
  <c r="K976" i="55"/>
  <c r="L976" i="55" s="1"/>
  <c r="K977" i="55"/>
  <c r="L977" i="55" s="1"/>
  <c r="K978" i="55"/>
  <c r="L978" i="55" s="1"/>
  <c r="K979" i="55"/>
  <c r="L979" i="55" s="1"/>
  <c r="K980" i="55"/>
  <c r="L980" i="55" s="1"/>
  <c r="K981" i="55"/>
  <c r="L981" i="55" s="1"/>
  <c r="K982" i="55"/>
  <c r="L982" i="55" s="1"/>
  <c r="K983" i="55"/>
  <c r="L983" i="55" s="1"/>
  <c r="K984" i="55"/>
  <c r="L984" i="55" s="1"/>
  <c r="K985" i="55"/>
  <c r="L985" i="55" s="1"/>
  <c r="K986" i="55"/>
  <c r="L986" i="55" s="1"/>
  <c r="K987" i="55"/>
  <c r="L987" i="55" s="1"/>
  <c r="K988" i="55"/>
  <c r="L988" i="55" s="1"/>
  <c r="K989" i="55"/>
  <c r="L989" i="55" s="1"/>
  <c r="K990" i="55"/>
  <c r="L990" i="55" s="1"/>
  <c r="K991" i="55"/>
  <c r="L991" i="55" s="1"/>
  <c r="K992" i="55"/>
  <c r="L992" i="55" s="1"/>
  <c r="K993" i="55"/>
  <c r="L993" i="55" s="1"/>
  <c r="K994" i="55"/>
  <c r="L994" i="55" s="1"/>
  <c r="K995" i="55"/>
  <c r="L995" i="55" s="1"/>
  <c r="K996" i="55"/>
  <c r="L996" i="55" s="1"/>
  <c r="K997" i="55"/>
  <c r="L997" i="55" s="1"/>
  <c r="K998" i="55"/>
  <c r="L998" i="55" s="1"/>
  <c r="K999" i="55"/>
  <c r="L999" i="55" s="1"/>
  <c r="K1000" i="55"/>
  <c r="L1000" i="55" s="1"/>
  <c r="K1001" i="55"/>
  <c r="K1002" i="55"/>
  <c r="K1003" i="55"/>
  <c r="K1004" i="55"/>
  <c r="K1005" i="55"/>
  <c r="K1006" i="55"/>
  <c r="K1007" i="55"/>
  <c r="I1001" i="55"/>
  <c r="I1002" i="55"/>
  <c r="I1003" i="55"/>
  <c r="I1004" i="55"/>
  <c r="I1005" i="55"/>
  <c r="I1006" i="55"/>
  <c r="I1007" i="55"/>
  <c r="G1001" i="55"/>
  <c r="G1002" i="55"/>
  <c r="G1003" i="55"/>
  <c r="G1004" i="55"/>
  <c r="G1005" i="55"/>
  <c r="G1006" i="55"/>
  <c r="G1007" i="55"/>
  <c r="E1001" i="55"/>
  <c r="E1002" i="55"/>
  <c r="E1003" i="55"/>
  <c r="E1004" i="55"/>
  <c r="E1005" i="55"/>
  <c r="E1006" i="55"/>
  <c r="E1007" i="55"/>
  <c r="D1001" i="55"/>
  <c r="L1001" i="55" s="1"/>
  <c r="D1002" i="55"/>
  <c r="L1002" i="55" s="1"/>
  <c r="D1003" i="55"/>
  <c r="L1003" i="55" s="1"/>
  <c r="D1004" i="55"/>
  <c r="H1004" i="55" s="1"/>
  <c r="D1005" i="55"/>
  <c r="L1005" i="55" s="1"/>
  <c r="D1006" i="55"/>
  <c r="H1006" i="55" s="1"/>
  <c r="D1007" i="55"/>
  <c r="F1007" i="55" s="1"/>
  <c r="B1001" i="55"/>
  <c r="C1001" i="55"/>
  <c r="B1002" i="55"/>
  <c r="C1002" i="55"/>
  <c r="B1003" i="55"/>
  <c r="C1003" i="55"/>
  <c r="B1004" i="55"/>
  <c r="C1004" i="55"/>
  <c r="B1005" i="55"/>
  <c r="C1005" i="55"/>
  <c r="B1006" i="55"/>
  <c r="C1006" i="55"/>
  <c r="B1007" i="55"/>
  <c r="C1007" i="55"/>
  <c r="H28" i="60"/>
  <c r="H29" i="61"/>
  <c r="H29" i="63"/>
  <c r="N6" i="49"/>
  <c r="Q6" i="25"/>
  <c r="H27" i="63"/>
  <c r="H26" i="63"/>
  <c r="H25" i="63"/>
  <c r="H24" i="63"/>
  <c r="H27" i="61"/>
  <c r="H26" i="61"/>
  <c r="H25" i="61"/>
  <c r="H24" i="61"/>
  <c r="H26" i="60"/>
  <c r="H25" i="60"/>
  <c r="H24" i="60"/>
  <c r="H23" i="60"/>
  <c r="H23" i="63"/>
  <c r="H22" i="63"/>
  <c r="H23" i="61"/>
  <c r="H22" i="61"/>
  <c r="H22" i="60"/>
  <c r="H21" i="60"/>
  <c r="F16" i="37"/>
  <c r="D12" i="37" s="1"/>
  <c r="F15" i="37"/>
  <c r="F13" i="37"/>
  <c r="F12" i="37"/>
  <c r="F6" i="37"/>
  <c r="D8" i="37" s="1"/>
  <c r="F7" i="37"/>
  <c r="F9" i="37"/>
  <c r="F10" i="37"/>
  <c r="F11" i="37"/>
  <c r="J16" i="37"/>
  <c r="J15" i="37"/>
  <c r="J14" i="37"/>
  <c r="J13" i="37"/>
  <c r="J12" i="37"/>
  <c r="J11" i="37"/>
  <c r="J10" i="37"/>
  <c r="J9" i="37"/>
  <c r="J8" i="37"/>
  <c r="J7" i="37"/>
  <c r="J6" i="37"/>
  <c r="K16" i="37"/>
  <c r="K15" i="37"/>
  <c r="K14" i="37"/>
  <c r="K13" i="37"/>
  <c r="K12" i="37"/>
  <c r="K11" i="37"/>
  <c r="K10" i="37"/>
  <c r="K9" i="37"/>
  <c r="K8" i="37"/>
  <c r="K7" i="37"/>
  <c r="K6" i="37"/>
  <c r="F11" i="30"/>
  <c r="H11" i="37"/>
  <c r="I11" i="37"/>
  <c r="F14" i="37"/>
  <c r="I16" i="37"/>
  <c r="H16" i="37"/>
  <c r="F16" i="30"/>
  <c r="F15" i="30"/>
  <c r="F14" i="30"/>
  <c r="F13" i="30"/>
  <c r="F12" i="30"/>
  <c r="I15" i="37"/>
  <c r="H15" i="37"/>
  <c r="I14" i="37"/>
  <c r="H14" i="37"/>
  <c r="I13" i="37"/>
  <c r="H13" i="37"/>
  <c r="I12" i="37"/>
  <c r="H12" i="37"/>
  <c r="I10" i="37"/>
  <c r="H10" i="37"/>
  <c r="F10" i="30"/>
  <c r="I9" i="37"/>
  <c r="H9" i="37"/>
  <c r="F9" i="30"/>
  <c r="I8" i="37"/>
  <c r="H8" i="37"/>
  <c r="F8" i="30"/>
  <c r="F8" i="37"/>
  <c r="I7" i="37"/>
  <c r="H7" i="37"/>
  <c r="F7" i="30"/>
  <c r="I6" i="37"/>
  <c r="H6" i="37"/>
  <c r="F6" i="30"/>
  <c r="K5" i="37"/>
  <c r="J5" i="37"/>
  <c r="I5" i="37"/>
  <c r="H5" i="37"/>
  <c r="G5" i="37"/>
  <c r="F5" i="37"/>
  <c r="K4" i="37"/>
  <c r="J4" i="37"/>
  <c r="I4" i="37"/>
  <c r="Z4" i="37"/>
  <c r="H4" i="37" s="1"/>
  <c r="Y4" i="37"/>
  <c r="G4" i="37" s="1"/>
  <c r="F4" i="37"/>
  <c r="I3" i="37"/>
  <c r="L16" i="56"/>
  <c r="J16" i="56"/>
  <c r="I16" i="56"/>
  <c r="H16" i="56"/>
  <c r="F16" i="56"/>
  <c r="D12" i="56" s="1"/>
  <c r="F15" i="56"/>
  <c r="F14" i="56"/>
  <c r="F13" i="56"/>
  <c r="F12" i="56"/>
  <c r="F11" i="56"/>
  <c r="L15" i="56"/>
  <c r="J15" i="56"/>
  <c r="I15" i="56"/>
  <c r="H15" i="56"/>
  <c r="L14" i="56"/>
  <c r="J14" i="56"/>
  <c r="I14" i="56"/>
  <c r="H14" i="56"/>
  <c r="L13" i="56"/>
  <c r="J13" i="56"/>
  <c r="I13" i="56"/>
  <c r="H13" i="56"/>
  <c r="L12" i="56"/>
  <c r="J12" i="56"/>
  <c r="I12" i="56"/>
  <c r="H12" i="56"/>
  <c r="L10" i="56"/>
  <c r="J10" i="56"/>
  <c r="I10" i="56"/>
  <c r="H10" i="56"/>
  <c r="F10" i="56"/>
  <c r="L9" i="56"/>
  <c r="J9" i="56"/>
  <c r="I9" i="56"/>
  <c r="H9" i="56"/>
  <c r="F9" i="56"/>
  <c r="L8" i="56"/>
  <c r="I8" i="56"/>
  <c r="H8" i="56"/>
  <c r="F8" i="56"/>
  <c r="F6" i="56"/>
  <c r="D8" i="56" s="1"/>
  <c r="F7" i="56"/>
  <c r="L7" i="56"/>
  <c r="I7" i="56"/>
  <c r="H7" i="56"/>
  <c r="L6" i="56"/>
  <c r="I6" i="56"/>
  <c r="H6" i="56"/>
  <c r="L5" i="56"/>
  <c r="I5" i="56"/>
  <c r="H5" i="56"/>
  <c r="G5" i="56"/>
  <c r="F5" i="56"/>
  <c r="L4" i="56"/>
  <c r="I4" i="56"/>
  <c r="Z4" i="56"/>
  <c r="H4" i="56" s="1"/>
  <c r="Y4" i="56"/>
  <c r="G4" i="56" s="1"/>
  <c r="F4" i="56"/>
  <c r="I3" i="56"/>
  <c r="L11" i="56"/>
  <c r="J11" i="56"/>
  <c r="I11" i="56"/>
  <c r="H11" i="56"/>
  <c r="M9" i="30"/>
  <c r="L9" i="30"/>
  <c r="K9" i="30"/>
  <c r="L13" i="30"/>
  <c r="M13" i="30"/>
  <c r="M16" i="30"/>
  <c r="M15" i="30"/>
  <c r="M14" i="30"/>
  <c r="M12" i="30"/>
  <c r="M11" i="30"/>
  <c r="M10" i="30"/>
  <c r="M8" i="30"/>
  <c r="M7" i="30"/>
  <c r="M6" i="30"/>
  <c r="L16" i="30"/>
  <c r="L15" i="30"/>
  <c r="L14" i="30"/>
  <c r="L12" i="30"/>
  <c r="L11" i="30"/>
  <c r="L10" i="30"/>
  <c r="L8" i="30"/>
  <c r="L7" i="30"/>
  <c r="L6" i="30"/>
  <c r="K16" i="30"/>
  <c r="K15" i="30"/>
  <c r="K14" i="30"/>
  <c r="K12" i="30"/>
  <c r="K11" i="30"/>
  <c r="K10" i="30"/>
  <c r="H8" i="30"/>
  <c r="J16" i="30"/>
  <c r="J15" i="30"/>
  <c r="H15" i="30"/>
  <c r="J14" i="30"/>
  <c r="H14" i="30"/>
  <c r="H13" i="30"/>
  <c r="J12" i="30"/>
  <c r="H12" i="30"/>
  <c r="J10" i="30"/>
  <c r="H10" i="30"/>
  <c r="H9" i="30"/>
  <c r="H7" i="30"/>
  <c r="I16" i="30"/>
  <c r="I15" i="30"/>
  <c r="I14" i="30"/>
  <c r="I13" i="30"/>
  <c r="I12" i="30"/>
  <c r="I8" i="30"/>
  <c r="I10" i="30"/>
  <c r="I9" i="30"/>
  <c r="I7" i="30"/>
  <c r="I6" i="30"/>
  <c r="H16" i="30"/>
  <c r="H6" i="30"/>
  <c r="I5" i="30"/>
  <c r="I4" i="30"/>
  <c r="I3" i="30"/>
  <c r="M5" i="30"/>
  <c r="L5" i="30"/>
  <c r="M4" i="30"/>
  <c r="L4" i="30"/>
  <c r="H5" i="30"/>
  <c r="Z4" i="30"/>
  <c r="H4" i="30" s="1"/>
  <c r="G5" i="30"/>
  <c r="Y4" i="30"/>
  <c r="G4" i="30" s="1"/>
  <c r="F5" i="30"/>
  <c r="F4" i="30"/>
  <c r="F30" i="25"/>
  <c r="F3" i="69" s="1"/>
  <c r="D13" i="31"/>
  <c r="O8" i="31"/>
  <c r="O9" i="31"/>
  <c r="O10" i="31"/>
  <c r="O11" i="31"/>
  <c r="O12" i="31"/>
  <c r="J8" i="31"/>
  <c r="J9" i="31"/>
  <c r="J10" i="31"/>
  <c r="J11" i="31"/>
  <c r="J12" i="31"/>
  <c r="J19" i="31"/>
  <c r="J20" i="31"/>
  <c r="J21" i="31"/>
  <c r="J22" i="31"/>
  <c r="J23" i="31"/>
  <c r="J30" i="31"/>
  <c r="J31" i="31"/>
  <c r="J32" i="31"/>
  <c r="J33" i="31"/>
  <c r="J34" i="31"/>
  <c r="M8" i="31"/>
  <c r="E2" i="66" s="1"/>
  <c r="H2" i="66" s="1"/>
  <c r="M9" i="31"/>
  <c r="M10" i="31"/>
  <c r="M11" i="31"/>
  <c r="M12" i="31"/>
  <c r="Q30" i="1"/>
  <c r="Q29" i="1" s="1"/>
  <c r="Q28" i="1" s="1"/>
  <c r="Q27" i="1" s="1"/>
  <c r="Q26" i="1" s="1"/>
  <c r="Q25" i="1" s="1"/>
  <c r="E7" i="55"/>
  <c r="F7" i="55"/>
  <c r="L7" i="55"/>
  <c r="K7" i="55"/>
  <c r="J7" i="55"/>
  <c r="I7" i="55"/>
  <c r="H7" i="55"/>
  <c r="G7" i="55"/>
  <c r="H20" i="60"/>
  <c r="H21" i="61"/>
  <c r="H21" i="63"/>
  <c r="E16" i="25"/>
  <c r="H14" i="63"/>
  <c r="H13" i="63"/>
  <c r="H14" i="61"/>
  <c r="H13" i="61"/>
  <c r="H12" i="60"/>
  <c r="H13" i="60"/>
  <c r="P34" i="48"/>
  <c r="K47" i="49"/>
  <c r="H47" i="49"/>
  <c r="E47" i="49"/>
  <c r="C47" i="49"/>
  <c r="C44" i="49"/>
  <c r="C43" i="49"/>
  <c r="C42" i="49"/>
  <c r="C41" i="49"/>
  <c r="M30" i="56"/>
  <c r="J30" i="56"/>
  <c r="H23" i="56"/>
  <c r="H22" i="56"/>
  <c r="N33" i="30"/>
  <c r="K33" i="30"/>
  <c r="M25" i="30"/>
  <c r="N23" i="30"/>
  <c r="H23" i="37" s="1"/>
  <c r="M23" i="30"/>
  <c r="I23" i="30"/>
  <c r="N22" i="30"/>
  <c r="I25" i="25" s="1"/>
  <c r="M22" i="30"/>
  <c r="I22" i="30"/>
  <c r="N21" i="30"/>
  <c r="H21" i="37" s="1"/>
  <c r="M21" i="30"/>
  <c r="N20" i="30"/>
  <c r="I21" i="25" s="1"/>
  <c r="M20" i="30"/>
  <c r="J11" i="30"/>
  <c r="I11" i="30"/>
  <c r="H11" i="30"/>
  <c r="X1631" i="37"/>
  <c r="X1630" i="37"/>
  <c r="W1630" i="37"/>
  <c r="V1630" i="37"/>
  <c r="U1630" i="37"/>
  <c r="X1629" i="37"/>
  <c r="X1633" i="37" s="1"/>
  <c r="W1629" i="37"/>
  <c r="W1633" i="37" s="1"/>
  <c r="V1629" i="37"/>
  <c r="V1633" i="37"/>
  <c r="U1629" i="37"/>
  <c r="U1633" i="37" s="1"/>
  <c r="X1625" i="37"/>
  <c r="W1625" i="37"/>
  <c r="V1625" i="37"/>
  <c r="U1625" i="37"/>
  <c r="X1487" i="37"/>
  <c r="X1486" i="37"/>
  <c r="W1486" i="37"/>
  <c r="V1486" i="37"/>
  <c r="U1486" i="37"/>
  <c r="X1485" i="37"/>
  <c r="X1489" i="37" s="1"/>
  <c r="W1485" i="37"/>
  <c r="W1489" i="37" s="1"/>
  <c r="V1485" i="37"/>
  <c r="V1489" i="37" s="1"/>
  <c r="U1485" i="37"/>
  <c r="U1489" i="37" s="1"/>
  <c r="X1481" i="37"/>
  <c r="W1481" i="37"/>
  <c r="V1481" i="37"/>
  <c r="U1481" i="37"/>
  <c r="X1343" i="37"/>
  <c r="X1342" i="37"/>
  <c r="W1342" i="37"/>
  <c r="V1342" i="37"/>
  <c r="U1342" i="37"/>
  <c r="X1341" i="37"/>
  <c r="X1345" i="37" s="1"/>
  <c r="W1341" i="37"/>
  <c r="W1345" i="37" s="1"/>
  <c r="V1341" i="37"/>
  <c r="V1345" i="37" s="1"/>
  <c r="U1341" i="37"/>
  <c r="U1345" i="37" s="1"/>
  <c r="X1337" i="37"/>
  <c r="W1337" i="37"/>
  <c r="V1337" i="37"/>
  <c r="U1337" i="37"/>
  <c r="X1199" i="37"/>
  <c r="X1198" i="37"/>
  <c r="W1198" i="37"/>
  <c r="V1198" i="37"/>
  <c r="U1198" i="37"/>
  <c r="X1197" i="37"/>
  <c r="X1201" i="37" s="1"/>
  <c r="W1197" i="37"/>
  <c r="W1201" i="37" s="1"/>
  <c r="V1197" i="37"/>
  <c r="V1201" i="37" s="1"/>
  <c r="U1197" i="37"/>
  <c r="U1201" i="37" s="1"/>
  <c r="X1193" i="37"/>
  <c r="W1193" i="37"/>
  <c r="V1193" i="37"/>
  <c r="U1193" i="37"/>
  <c r="X1055" i="37"/>
  <c r="X1054" i="37"/>
  <c r="W1054" i="37"/>
  <c r="V1054" i="37"/>
  <c r="U1054" i="37"/>
  <c r="X1053" i="37"/>
  <c r="X1057" i="37" s="1"/>
  <c r="W1053" i="37"/>
  <c r="W1057" i="37" s="1"/>
  <c r="V1053" i="37"/>
  <c r="V1057" i="37" s="1"/>
  <c r="U1053" i="37"/>
  <c r="U1057" i="37" s="1"/>
  <c r="X1049" i="37"/>
  <c r="W1049" i="37"/>
  <c r="V1049" i="37"/>
  <c r="U1049" i="37"/>
  <c r="X911" i="37"/>
  <c r="X910" i="37"/>
  <c r="W910" i="37"/>
  <c r="V910" i="37"/>
  <c r="U910" i="37"/>
  <c r="X909" i="37"/>
  <c r="X913" i="37" s="1"/>
  <c r="W909" i="37"/>
  <c r="W913" i="37"/>
  <c r="V909" i="37"/>
  <c r="V913" i="37" s="1"/>
  <c r="U909" i="37"/>
  <c r="U913" i="37" s="1"/>
  <c r="X905" i="37"/>
  <c r="W905" i="37"/>
  <c r="V905" i="37"/>
  <c r="U905" i="37"/>
  <c r="X767" i="37"/>
  <c r="X766" i="37"/>
  <c r="W766" i="37"/>
  <c r="V766" i="37"/>
  <c r="U766" i="37"/>
  <c r="X765" i="37"/>
  <c r="X769" i="37" s="1"/>
  <c r="W765" i="37"/>
  <c r="W769" i="37" s="1"/>
  <c r="V765" i="37"/>
  <c r="V769" i="37" s="1"/>
  <c r="U765" i="37"/>
  <c r="U769" i="37" s="1"/>
  <c r="X761" i="37"/>
  <c r="W761" i="37"/>
  <c r="V761" i="37"/>
  <c r="U761" i="37"/>
  <c r="X623" i="37"/>
  <c r="X622" i="37"/>
  <c r="W622" i="37"/>
  <c r="V622" i="37"/>
  <c r="U622" i="37"/>
  <c r="X621" i="37"/>
  <c r="X625" i="37" s="1"/>
  <c r="W621" i="37"/>
  <c r="W625" i="37" s="1"/>
  <c r="V621" i="37"/>
  <c r="V625" i="37" s="1"/>
  <c r="U621" i="37"/>
  <c r="U625" i="37" s="1"/>
  <c r="X617" i="37"/>
  <c r="W617" i="37"/>
  <c r="V617" i="37"/>
  <c r="U617" i="37"/>
  <c r="W481" i="37"/>
  <c r="X479" i="37"/>
  <c r="X478" i="37"/>
  <c r="W478" i="37"/>
  <c r="V478" i="37"/>
  <c r="U478" i="37"/>
  <c r="X477" i="37"/>
  <c r="X481" i="37" s="1"/>
  <c r="W477" i="37"/>
  <c r="V477" i="37"/>
  <c r="V481" i="37" s="1"/>
  <c r="U477" i="37"/>
  <c r="U481" i="37" s="1"/>
  <c r="X473" i="37"/>
  <c r="W473" i="37"/>
  <c r="V473" i="37"/>
  <c r="U473" i="37"/>
  <c r="X335" i="37"/>
  <c r="X334" i="37"/>
  <c r="W334" i="37"/>
  <c r="V334" i="37"/>
  <c r="U334" i="37"/>
  <c r="X333" i="37"/>
  <c r="X337" i="37" s="1"/>
  <c r="W333" i="37"/>
  <c r="W337" i="37" s="1"/>
  <c r="V333" i="37"/>
  <c r="V337" i="37" s="1"/>
  <c r="U333" i="37"/>
  <c r="U337" i="37" s="1"/>
  <c r="X329" i="37"/>
  <c r="W329" i="37"/>
  <c r="V329" i="37"/>
  <c r="U329" i="37"/>
  <c r="X191" i="37"/>
  <c r="X190" i="37"/>
  <c r="W190" i="37"/>
  <c r="V190" i="37"/>
  <c r="U190" i="37"/>
  <c r="X189" i="37"/>
  <c r="X193" i="37" s="1"/>
  <c r="W189" i="37"/>
  <c r="W193" i="37" s="1"/>
  <c r="V189" i="37"/>
  <c r="V193" i="37" s="1"/>
  <c r="U189" i="37"/>
  <c r="U193" i="37" s="1"/>
  <c r="X185" i="37"/>
  <c r="W185" i="37"/>
  <c r="V185" i="37"/>
  <c r="U185" i="37"/>
  <c r="L33" i="37"/>
  <c r="J33" i="37"/>
  <c r="R50" i="28"/>
  <c r="E29" i="28"/>
  <c r="E28" i="28"/>
  <c r="E27" i="28"/>
  <c r="E25" i="28"/>
  <c r="F24" i="28"/>
  <c r="E23" i="28"/>
  <c r="C18" i="29" s="1"/>
  <c r="F22" i="28"/>
  <c r="E22" i="28"/>
  <c r="C17" i="29" s="1"/>
  <c r="E19" i="28"/>
  <c r="E18" i="28"/>
  <c r="F17" i="28"/>
  <c r="E17" i="28"/>
  <c r="F16" i="28"/>
  <c r="E16" i="28"/>
  <c r="E15" i="28"/>
  <c r="E14" i="28"/>
  <c r="E13" i="28"/>
  <c r="F12" i="28"/>
  <c r="E12" i="28"/>
  <c r="F11" i="28"/>
  <c r="E11" i="28"/>
  <c r="F10" i="28"/>
  <c r="E10" i="28"/>
  <c r="E9" i="28"/>
  <c r="E8" i="28"/>
  <c r="E6" i="28"/>
  <c r="E5" i="28"/>
  <c r="E4" i="28"/>
  <c r="F3" i="28"/>
  <c r="C20" i="29"/>
  <c r="C19" i="29"/>
  <c r="C16" i="29"/>
  <c r="D15" i="29"/>
  <c r="C15" i="29"/>
  <c r="C13" i="29"/>
  <c r="M12" i="29"/>
  <c r="L12" i="29"/>
  <c r="K12" i="29"/>
  <c r="J12" i="29"/>
  <c r="I12" i="29"/>
  <c r="H12" i="29"/>
  <c r="G12" i="29"/>
  <c r="F12" i="29"/>
  <c r="E12" i="29"/>
  <c r="C11" i="29"/>
  <c r="C10" i="29"/>
  <c r="C9" i="29"/>
  <c r="C7" i="29"/>
  <c r="D6" i="29"/>
  <c r="C6" i="29"/>
  <c r="C5" i="29"/>
  <c r="C4" i="29"/>
  <c r="D3" i="29"/>
  <c r="H36" i="25"/>
  <c r="I23" i="25"/>
  <c r="H23" i="25"/>
  <c r="O18" i="51" s="1"/>
  <c r="Q21" i="25"/>
  <c r="P21" i="25"/>
  <c r="N21" i="25"/>
  <c r="G11" i="25"/>
  <c r="G10" i="25"/>
  <c r="P6" i="25"/>
  <c r="H14" i="25" s="1"/>
  <c r="N6" i="25"/>
  <c r="G14" i="25" s="1"/>
  <c r="L44" i="51"/>
  <c r="O43" i="51"/>
  <c r="N43" i="51"/>
  <c r="L43" i="51"/>
  <c r="L42" i="51"/>
  <c r="O41" i="51"/>
  <c r="N41" i="51"/>
  <c r="L41" i="51"/>
  <c r="L40" i="51"/>
  <c r="O39" i="51"/>
  <c r="N39" i="51"/>
  <c r="L39" i="51"/>
  <c r="O38" i="51"/>
  <c r="N38" i="51"/>
  <c r="L38" i="51"/>
  <c r="O37" i="51"/>
  <c r="N37" i="51"/>
  <c r="L37" i="51"/>
  <c r="L36" i="51"/>
  <c r="O35" i="51"/>
  <c r="N35" i="51"/>
  <c r="L35" i="51"/>
  <c r="O34" i="51"/>
  <c r="N34" i="51"/>
  <c r="L34" i="51"/>
  <c r="O33" i="51"/>
  <c r="N33" i="51"/>
  <c r="L33" i="51"/>
  <c r="O32" i="51"/>
  <c r="N32" i="51"/>
  <c r="L32" i="51"/>
  <c r="L31" i="51"/>
  <c r="O30" i="51"/>
  <c r="N30" i="51"/>
  <c r="L30" i="51"/>
  <c r="O29" i="51"/>
  <c r="N29" i="51"/>
  <c r="J29" i="51"/>
  <c r="H29" i="51"/>
  <c r="G11" i="51"/>
  <c r="G10" i="51"/>
  <c r="H4" i="51"/>
  <c r="S39" i="26"/>
  <c r="Q12" i="25" s="1"/>
  <c r="M39" i="26"/>
  <c r="K39" i="26"/>
  <c r="I39" i="26"/>
  <c r="Q23" i="26"/>
  <c r="O23" i="26"/>
  <c r="M23" i="26"/>
  <c r="K23" i="26"/>
  <c r="I23" i="26"/>
  <c r="S20" i="26"/>
  <c r="Q10" i="25" s="1"/>
  <c r="M20" i="26"/>
  <c r="K20" i="26"/>
  <c r="I20" i="26"/>
  <c r="S14" i="26"/>
  <c r="Q8" i="25" s="1"/>
  <c r="M14" i="26"/>
  <c r="K14" i="26"/>
  <c r="I14" i="26"/>
  <c r="E8" i="26"/>
  <c r="E7" i="28" s="1"/>
  <c r="N7" i="26"/>
  <c r="L7" i="26"/>
  <c r="J7" i="26"/>
  <c r="Z4" i="26"/>
  <c r="B7" i="33"/>
  <c r="K9007" i="55"/>
  <c r="L9007" i="55" s="1"/>
  <c r="I9007" i="55"/>
  <c r="G9007" i="55"/>
  <c r="E9007" i="55"/>
  <c r="F9007" i="55" s="1"/>
  <c r="D9007" i="55"/>
  <c r="C9007" i="55"/>
  <c r="B9007" i="55"/>
  <c r="K9006" i="55"/>
  <c r="E9006" i="55"/>
  <c r="F9006" i="55" s="1"/>
  <c r="I9006" i="55"/>
  <c r="D9006" i="55"/>
  <c r="G9006" i="55"/>
  <c r="C9006" i="55"/>
  <c r="B9006" i="55"/>
  <c r="K9005" i="55"/>
  <c r="I9005" i="55"/>
  <c r="G9005" i="55"/>
  <c r="E9005" i="55"/>
  <c r="F9005" i="55" s="1"/>
  <c r="D9005" i="55"/>
  <c r="C9005" i="55"/>
  <c r="B9005" i="55"/>
  <c r="K9004" i="55"/>
  <c r="I9004" i="55"/>
  <c r="D9004" i="55"/>
  <c r="G9004" i="55"/>
  <c r="H9004" i="55" s="1"/>
  <c r="E9004" i="55"/>
  <c r="F9004" i="55" s="1"/>
  <c r="C9004" i="55"/>
  <c r="B9004" i="55"/>
  <c r="K9003" i="55"/>
  <c r="I9003" i="55"/>
  <c r="J9003" i="55" s="1"/>
  <c r="G9003" i="55"/>
  <c r="E9003" i="55"/>
  <c r="F9003" i="55" s="1"/>
  <c r="D9003" i="55"/>
  <c r="C9003" i="55"/>
  <c r="B9003" i="55"/>
  <c r="K9002" i="55"/>
  <c r="E9002" i="55"/>
  <c r="F9002" i="55" s="1"/>
  <c r="I9002" i="55"/>
  <c r="D9002" i="55"/>
  <c r="G9002" i="55"/>
  <c r="C9002" i="55"/>
  <c r="B9002" i="55"/>
  <c r="K9001" i="55"/>
  <c r="I9001" i="55"/>
  <c r="G9001" i="55"/>
  <c r="E9001" i="55"/>
  <c r="F9001" i="55" s="1"/>
  <c r="L9001" i="55" s="1"/>
  <c r="D9001" i="55"/>
  <c r="J9001" i="55" s="1"/>
  <c r="C9001" i="55"/>
  <c r="B9001" i="55"/>
  <c r="B3" i="55"/>
  <c r="B18" i="54"/>
  <c r="B19" i="54" s="1"/>
  <c r="B20" i="54" s="1"/>
  <c r="B21" i="54" s="1"/>
  <c r="N7" i="54"/>
  <c r="N5" i="54"/>
  <c r="L45" i="31"/>
  <c r="L44" i="31"/>
  <c r="L43" i="31"/>
  <c r="L42" i="31"/>
  <c r="L41" i="31"/>
  <c r="A41" i="31"/>
  <c r="A42" i="31" s="1"/>
  <c r="A43" i="31" s="1"/>
  <c r="A44" i="31" s="1"/>
  <c r="A45" i="31" s="1"/>
  <c r="P34" i="31"/>
  <c r="N34" i="31"/>
  <c r="K34" i="31" s="1"/>
  <c r="L34" i="31"/>
  <c r="P33" i="31"/>
  <c r="N33" i="31"/>
  <c r="K33" i="31" s="1"/>
  <c r="L33" i="31"/>
  <c r="P32" i="31"/>
  <c r="N32" i="31"/>
  <c r="K32" i="31" s="1"/>
  <c r="L32" i="31"/>
  <c r="P31" i="31"/>
  <c r="N31" i="31"/>
  <c r="K31" i="31" s="1"/>
  <c r="L31" i="31"/>
  <c r="P30" i="31"/>
  <c r="N30" i="31"/>
  <c r="K30" i="31" s="1"/>
  <c r="L30" i="31"/>
  <c r="A30" i="31"/>
  <c r="A31" i="31" s="1"/>
  <c r="A32" i="31" s="1"/>
  <c r="A33" i="31" s="1"/>
  <c r="A34" i="31" s="1"/>
  <c r="P23" i="31"/>
  <c r="N23" i="31"/>
  <c r="K23" i="31" s="1"/>
  <c r="L23" i="31"/>
  <c r="P22" i="31"/>
  <c r="N22" i="31"/>
  <c r="K22" i="31" s="1"/>
  <c r="L22" i="31"/>
  <c r="P21" i="31"/>
  <c r="N21" i="31"/>
  <c r="K21" i="31" s="1"/>
  <c r="L21" i="31"/>
  <c r="P20" i="31"/>
  <c r="N20" i="31"/>
  <c r="K20" i="31" s="1"/>
  <c r="L20" i="31"/>
  <c r="P19" i="31"/>
  <c r="N19" i="31"/>
  <c r="K19" i="31" s="1"/>
  <c r="L19" i="31"/>
  <c r="A19" i="31"/>
  <c r="A20" i="31" s="1"/>
  <c r="A21" i="31" s="1"/>
  <c r="A22" i="31" s="1"/>
  <c r="A23" i="31" s="1"/>
  <c r="P12" i="31"/>
  <c r="N12" i="31"/>
  <c r="K12" i="31" s="1"/>
  <c r="L12" i="31"/>
  <c r="P11" i="31"/>
  <c r="N11" i="31"/>
  <c r="K11" i="31" s="1"/>
  <c r="L11" i="31"/>
  <c r="P10" i="31"/>
  <c r="N10" i="31"/>
  <c r="K10" i="31" s="1"/>
  <c r="L10" i="31"/>
  <c r="N9" i="31"/>
  <c r="L9" i="31"/>
  <c r="R8" i="31"/>
  <c r="P8" i="31"/>
  <c r="N8" i="31"/>
  <c r="L8" i="31"/>
  <c r="A8" i="31"/>
  <c r="A9" i="31" s="1"/>
  <c r="A10" i="31" s="1"/>
  <c r="A11" i="31" s="1"/>
  <c r="A12" i="31" s="1"/>
  <c r="R6" i="31"/>
  <c r="Q413" i="50"/>
  <c r="H413" i="50"/>
  <c r="S76" i="50"/>
  <c r="S88" i="50" s="1"/>
  <c r="S100" i="50" s="1"/>
  <c r="S112" i="50" s="1"/>
  <c r="S124" i="50" s="1"/>
  <c r="S136" i="50" s="1"/>
  <c r="S148" i="50" s="1"/>
  <c r="S160" i="50" s="1"/>
  <c r="S172" i="50" s="1"/>
  <c r="S184" i="50" s="1"/>
  <c r="S196" i="50" s="1"/>
  <c r="S208" i="50" s="1"/>
  <c r="S220" i="50" s="1"/>
  <c r="S232" i="50" s="1"/>
  <c r="S244" i="50" s="1"/>
  <c r="S256" i="50" s="1"/>
  <c r="S268" i="50" s="1"/>
  <c r="S280" i="50" s="1"/>
  <c r="S292" i="50" s="1"/>
  <c r="S304" i="50" s="1"/>
  <c r="S316" i="50" s="1"/>
  <c r="S328" i="50" s="1"/>
  <c r="S340" i="50" s="1"/>
  <c r="S352" i="50" s="1"/>
  <c r="J76" i="50"/>
  <c r="J88" i="50" s="1"/>
  <c r="J100" i="50" s="1"/>
  <c r="J112" i="50" s="1"/>
  <c r="J124" i="50" s="1"/>
  <c r="J136" i="50" s="1"/>
  <c r="J148" i="50" s="1"/>
  <c r="J160" i="50" s="1"/>
  <c r="J172" i="50" s="1"/>
  <c r="J184" i="50" s="1"/>
  <c r="J196" i="50" s="1"/>
  <c r="J208" i="50" s="1"/>
  <c r="J220" i="50" s="1"/>
  <c r="J232" i="50" s="1"/>
  <c r="J244" i="50" s="1"/>
  <c r="J256" i="50" s="1"/>
  <c r="J268" i="50" s="1"/>
  <c r="J280" i="50" s="1"/>
  <c r="J292" i="50" s="1"/>
  <c r="J304" i="50" s="1"/>
  <c r="J316" i="50" s="1"/>
  <c r="J328" i="50" s="1"/>
  <c r="J340" i="50" s="1"/>
  <c r="J352" i="50" s="1"/>
  <c r="A76" i="50"/>
  <c r="A88" i="50"/>
  <c r="A100" i="50" s="1"/>
  <c r="A112" i="50" s="1"/>
  <c r="A124" i="50" s="1"/>
  <c r="A136" i="50" s="1"/>
  <c r="A148" i="50" s="1"/>
  <c r="A160" i="50" s="1"/>
  <c r="A172" i="50" s="1"/>
  <c r="A184" i="50" s="1"/>
  <c r="A196" i="50" s="1"/>
  <c r="A208" i="50" s="1"/>
  <c r="A220" i="50" s="1"/>
  <c r="A232" i="50" s="1"/>
  <c r="A244" i="50" s="1"/>
  <c r="A256" i="50" s="1"/>
  <c r="A268" i="50" s="1"/>
  <c r="A280" i="50" s="1"/>
  <c r="A292" i="50" s="1"/>
  <c r="A304" i="50" s="1"/>
  <c r="A316" i="50" s="1"/>
  <c r="A328" i="50" s="1"/>
  <c r="A340" i="50" s="1"/>
  <c r="A352" i="50" s="1"/>
  <c r="S75" i="50"/>
  <c r="S87" i="50" s="1"/>
  <c r="S99" i="50" s="1"/>
  <c r="S111" i="50" s="1"/>
  <c r="S123" i="50" s="1"/>
  <c r="S135" i="50" s="1"/>
  <c r="S147" i="50" s="1"/>
  <c r="S159" i="50" s="1"/>
  <c r="S171" i="50" s="1"/>
  <c r="S183" i="50" s="1"/>
  <c r="S195" i="50" s="1"/>
  <c r="S207" i="50" s="1"/>
  <c r="S219" i="50" s="1"/>
  <c r="S231" i="50" s="1"/>
  <c r="S243" i="50" s="1"/>
  <c r="S255" i="50" s="1"/>
  <c r="S267" i="50" s="1"/>
  <c r="S279" i="50" s="1"/>
  <c r="S291" i="50" s="1"/>
  <c r="S303" i="50" s="1"/>
  <c r="S315" i="50" s="1"/>
  <c r="S327" i="50" s="1"/>
  <c r="S339" i="50" s="1"/>
  <c r="S351" i="50" s="1"/>
  <c r="J75" i="50"/>
  <c r="J87" i="50" s="1"/>
  <c r="J99" i="50" s="1"/>
  <c r="J111" i="50" s="1"/>
  <c r="J123" i="50" s="1"/>
  <c r="J135" i="50" s="1"/>
  <c r="J147" i="50" s="1"/>
  <c r="J159" i="50" s="1"/>
  <c r="J171" i="50" s="1"/>
  <c r="J183" i="50" s="1"/>
  <c r="J195" i="50" s="1"/>
  <c r="J207" i="50" s="1"/>
  <c r="J219" i="50" s="1"/>
  <c r="J231" i="50" s="1"/>
  <c r="J243" i="50" s="1"/>
  <c r="J255" i="50" s="1"/>
  <c r="J267" i="50" s="1"/>
  <c r="J279" i="50" s="1"/>
  <c r="J291" i="50" s="1"/>
  <c r="J303" i="50" s="1"/>
  <c r="J315" i="50" s="1"/>
  <c r="J327" i="50" s="1"/>
  <c r="J339" i="50" s="1"/>
  <c r="J351" i="50" s="1"/>
  <c r="A75" i="50"/>
  <c r="A87" i="50" s="1"/>
  <c r="A99" i="50" s="1"/>
  <c r="A111" i="50" s="1"/>
  <c r="A123" i="50" s="1"/>
  <c r="A135" i="50" s="1"/>
  <c r="A147" i="50" s="1"/>
  <c r="A159" i="50" s="1"/>
  <c r="A171" i="50" s="1"/>
  <c r="A183" i="50" s="1"/>
  <c r="A195" i="50" s="1"/>
  <c r="A207" i="50" s="1"/>
  <c r="A219" i="50" s="1"/>
  <c r="A231" i="50" s="1"/>
  <c r="A243" i="50" s="1"/>
  <c r="A255" i="50" s="1"/>
  <c r="A267" i="50" s="1"/>
  <c r="A279" i="50" s="1"/>
  <c r="A291" i="50" s="1"/>
  <c r="A303" i="50" s="1"/>
  <c r="A315" i="50" s="1"/>
  <c r="A327" i="50" s="1"/>
  <c r="A339" i="50" s="1"/>
  <c r="A351" i="50" s="1"/>
  <c r="S74" i="50"/>
  <c r="S86" i="50" s="1"/>
  <c r="S98" i="50" s="1"/>
  <c r="S110" i="50" s="1"/>
  <c r="S122" i="50" s="1"/>
  <c r="S134" i="50" s="1"/>
  <c r="S146" i="50" s="1"/>
  <c r="S158" i="50" s="1"/>
  <c r="S170" i="50" s="1"/>
  <c r="S182" i="50" s="1"/>
  <c r="S194" i="50" s="1"/>
  <c r="S206" i="50" s="1"/>
  <c r="S218" i="50" s="1"/>
  <c r="S230" i="50" s="1"/>
  <c r="S242" i="50" s="1"/>
  <c r="S254" i="50" s="1"/>
  <c r="S266" i="50" s="1"/>
  <c r="S278" i="50" s="1"/>
  <c r="S290" i="50" s="1"/>
  <c r="S302" i="50" s="1"/>
  <c r="S314" i="50" s="1"/>
  <c r="S326" i="50" s="1"/>
  <c r="S338" i="50" s="1"/>
  <c r="S350" i="50" s="1"/>
  <c r="J74" i="50"/>
  <c r="J86" i="50" s="1"/>
  <c r="J98" i="50" s="1"/>
  <c r="J110" i="50" s="1"/>
  <c r="J122" i="50" s="1"/>
  <c r="J134" i="50" s="1"/>
  <c r="J146" i="50" s="1"/>
  <c r="J158" i="50" s="1"/>
  <c r="J170" i="50" s="1"/>
  <c r="J182" i="50" s="1"/>
  <c r="J194" i="50" s="1"/>
  <c r="J206" i="50" s="1"/>
  <c r="J218" i="50" s="1"/>
  <c r="J230" i="50" s="1"/>
  <c r="J242" i="50" s="1"/>
  <c r="J254" i="50" s="1"/>
  <c r="J266" i="50" s="1"/>
  <c r="J278" i="50" s="1"/>
  <c r="J290" i="50" s="1"/>
  <c r="J302" i="50" s="1"/>
  <c r="J314" i="50" s="1"/>
  <c r="J326" i="50" s="1"/>
  <c r="J338" i="50" s="1"/>
  <c r="J350" i="50" s="1"/>
  <c r="A74" i="50"/>
  <c r="A86" i="50" s="1"/>
  <c r="A98" i="50" s="1"/>
  <c r="A110" i="50" s="1"/>
  <c r="A122" i="50" s="1"/>
  <c r="A134" i="50" s="1"/>
  <c r="A146" i="50" s="1"/>
  <c r="A158" i="50" s="1"/>
  <c r="A170" i="50" s="1"/>
  <c r="A182" i="50" s="1"/>
  <c r="A194" i="50" s="1"/>
  <c r="A206" i="50" s="1"/>
  <c r="A218" i="50" s="1"/>
  <c r="A230" i="50" s="1"/>
  <c r="A242" i="50" s="1"/>
  <c r="A254" i="50" s="1"/>
  <c r="A266" i="50" s="1"/>
  <c r="A278" i="50" s="1"/>
  <c r="A290" i="50" s="1"/>
  <c r="A302" i="50" s="1"/>
  <c r="A314" i="50" s="1"/>
  <c r="A326" i="50" s="1"/>
  <c r="A338" i="50" s="1"/>
  <c r="A350" i="50" s="1"/>
  <c r="S73" i="50"/>
  <c r="S85" i="50" s="1"/>
  <c r="S97" i="50" s="1"/>
  <c r="S109" i="50" s="1"/>
  <c r="S121" i="50" s="1"/>
  <c r="S133" i="50" s="1"/>
  <c r="S145" i="50" s="1"/>
  <c r="S157" i="50" s="1"/>
  <c r="S169" i="50" s="1"/>
  <c r="S181" i="50" s="1"/>
  <c r="S193" i="50" s="1"/>
  <c r="S205" i="50" s="1"/>
  <c r="S217" i="50" s="1"/>
  <c r="S229" i="50" s="1"/>
  <c r="S241" i="50" s="1"/>
  <c r="S253" i="50" s="1"/>
  <c r="S265" i="50" s="1"/>
  <c r="S277" i="50" s="1"/>
  <c r="S289" i="50" s="1"/>
  <c r="S301" i="50" s="1"/>
  <c r="S313" i="50" s="1"/>
  <c r="S325" i="50" s="1"/>
  <c r="S337" i="50" s="1"/>
  <c r="S349" i="50" s="1"/>
  <c r="J73" i="50"/>
  <c r="J85" i="50" s="1"/>
  <c r="J97" i="50" s="1"/>
  <c r="J109" i="50" s="1"/>
  <c r="J121" i="50" s="1"/>
  <c r="J133" i="50" s="1"/>
  <c r="J145" i="50" s="1"/>
  <c r="J157" i="50" s="1"/>
  <c r="J169" i="50" s="1"/>
  <c r="J181" i="50" s="1"/>
  <c r="J193" i="50" s="1"/>
  <c r="J205" i="50" s="1"/>
  <c r="J217" i="50" s="1"/>
  <c r="J229" i="50" s="1"/>
  <c r="J241" i="50" s="1"/>
  <c r="J253" i="50" s="1"/>
  <c r="J265" i="50" s="1"/>
  <c r="J277" i="50" s="1"/>
  <c r="J289" i="50" s="1"/>
  <c r="J301" i="50" s="1"/>
  <c r="J313" i="50" s="1"/>
  <c r="J325" i="50" s="1"/>
  <c r="J337" i="50" s="1"/>
  <c r="J349" i="50" s="1"/>
  <c r="A73" i="50"/>
  <c r="A85" i="50" s="1"/>
  <c r="A97" i="50" s="1"/>
  <c r="A109" i="50" s="1"/>
  <c r="A121" i="50" s="1"/>
  <c r="A133" i="50" s="1"/>
  <c r="A145" i="50" s="1"/>
  <c r="A157" i="50" s="1"/>
  <c r="A169" i="50" s="1"/>
  <c r="A181" i="50" s="1"/>
  <c r="A193" i="50" s="1"/>
  <c r="A205" i="50" s="1"/>
  <c r="A217" i="50" s="1"/>
  <c r="A229" i="50" s="1"/>
  <c r="A241" i="50" s="1"/>
  <c r="A253" i="50" s="1"/>
  <c r="A265" i="50" s="1"/>
  <c r="A277" i="50" s="1"/>
  <c r="A289" i="50" s="1"/>
  <c r="A301" i="50" s="1"/>
  <c r="A313" i="50" s="1"/>
  <c r="A325" i="50" s="1"/>
  <c r="A337" i="50" s="1"/>
  <c r="A349" i="50" s="1"/>
  <c r="S72" i="50"/>
  <c r="S84" i="50" s="1"/>
  <c r="S96" i="50" s="1"/>
  <c r="S108" i="50" s="1"/>
  <c r="S120" i="50" s="1"/>
  <c r="S132" i="50" s="1"/>
  <c r="S144" i="50" s="1"/>
  <c r="S156" i="50" s="1"/>
  <c r="S168" i="50" s="1"/>
  <c r="S180" i="50" s="1"/>
  <c r="S192" i="50" s="1"/>
  <c r="S204" i="50" s="1"/>
  <c r="S216" i="50" s="1"/>
  <c r="S228" i="50" s="1"/>
  <c r="S240" i="50" s="1"/>
  <c r="S252" i="50" s="1"/>
  <c r="S264" i="50" s="1"/>
  <c r="S276" i="50" s="1"/>
  <c r="S288" i="50" s="1"/>
  <c r="S300" i="50" s="1"/>
  <c r="S312" i="50" s="1"/>
  <c r="S324" i="50" s="1"/>
  <c r="S336" i="50" s="1"/>
  <c r="S348" i="50" s="1"/>
  <c r="J72" i="50"/>
  <c r="J84" i="50" s="1"/>
  <c r="J96" i="50" s="1"/>
  <c r="J108" i="50" s="1"/>
  <c r="J120" i="50" s="1"/>
  <c r="J132" i="50" s="1"/>
  <c r="J144" i="50" s="1"/>
  <c r="J156" i="50" s="1"/>
  <c r="J168" i="50" s="1"/>
  <c r="J180" i="50" s="1"/>
  <c r="J192" i="50" s="1"/>
  <c r="J204" i="50" s="1"/>
  <c r="J216" i="50" s="1"/>
  <c r="J228" i="50" s="1"/>
  <c r="J240" i="50" s="1"/>
  <c r="J252" i="50" s="1"/>
  <c r="J264" i="50" s="1"/>
  <c r="J276" i="50" s="1"/>
  <c r="J288" i="50" s="1"/>
  <c r="J300" i="50" s="1"/>
  <c r="J312" i="50" s="1"/>
  <c r="J324" i="50" s="1"/>
  <c r="J336" i="50" s="1"/>
  <c r="J348" i="50" s="1"/>
  <c r="A72" i="50"/>
  <c r="A84" i="50" s="1"/>
  <c r="A96" i="50" s="1"/>
  <c r="A108" i="50" s="1"/>
  <c r="A120" i="50" s="1"/>
  <c r="A132" i="50" s="1"/>
  <c r="A144" i="50" s="1"/>
  <c r="A156" i="50" s="1"/>
  <c r="A168" i="50" s="1"/>
  <c r="A180" i="50" s="1"/>
  <c r="A192" i="50" s="1"/>
  <c r="A204" i="50" s="1"/>
  <c r="A216" i="50" s="1"/>
  <c r="A228" i="50" s="1"/>
  <c r="A240" i="50" s="1"/>
  <c r="A252" i="50" s="1"/>
  <c r="A264" i="50" s="1"/>
  <c r="A276" i="50" s="1"/>
  <c r="A288" i="50" s="1"/>
  <c r="A300" i="50" s="1"/>
  <c r="A312" i="50" s="1"/>
  <c r="A324" i="50" s="1"/>
  <c r="A336" i="50" s="1"/>
  <c r="A348" i="50" s="1"/>
  <c r="S71" i="50"/>
  <c r="S83" i="50" s="1"/>
  <c r="S95" i="50" s="1"/>
  <c r="S107" i="50" s="1"/>
  <c r="S119" i="50" s="1"/>
  <c r="S131" i="50" s="1"/>
  <c r="S143" i="50" s="1"/>
  <c r="S155" i="50" s="1"/>
  <c r="S167" i="50" s="1"/>
  <c r="S179" i="50" s="1"/>
  <c r="S191" i="50" s="1"/>
  <c r="S203" i="50" s="1"/>
  <c r="S215" i="50" s="1"/>
  <c r="S227" i="50" s="1"/>
  <c r="S239" i="50" s="1"/>
  <c r="S251" i="50" s="1"/>
  <c r="S263" i="50" s="1"/>
  <c r="S275" i="50" s="1"/>
  <c r="S287" i="50" s="1"/>
  <c r="S299" i="50" s="1"/>
  <c r="S311" i="50" s="1"/>
  <c r="S323" i="50" s="1"/>
  <c r="S335" i="50" s="1"/>
  <c r="S347" i="50" s="1"/>
  <c r="J71" i="50"/>
  <c r="J83" i="50" s="1"/>
  <c r="J95" i="50" s="1"/>
  <c r="J107" i="50" s="1"/>
  <c r="J119" i="50" s="1"/>
  <c r="J131" i="50" s="1"/>
  <c r="J143" i="50" s="1"/>
  <c r="J155" i="50" s="1"/>
  <c r="J167" i="50" s="1"/>
  <c r="J179" i="50" s="1"/>
  <c r="J191" i="50" s="1"/>
  <c r="J203" i="50" s="1"/>
  <c r="J215" i="50" s="1"/>
  <c r="J227" i="50" s="1"/>
  <c r="J239" i="50" s="1"/>
  <c r="J251" i="50" s="1"/>
  <c r="J263" i="50" s="1"/>
  <c r="J275" i="50" s="1"/>
  <c r="J287" i="50" s="1"/>
  <c r="J299" i="50" s="1"/>
  <c r="J311" i="50" s="1"/>
  <c r="J323" i="50" s="1"/>
  <c r="J335" i="50" s="1"/>
  <c r="J347" i="50" s="1"/>
  <c r="A71" i="50"/>
  <c r="A83" i="50" s="1"/>
  <c r="A95" i="50" s="1"/>
  <c r="A107" i="50" s="1"/>
  <c r="A119" i="50" s="1"/>
  <c r="A131" i="50" s="1"/>
  <c r="A143" i="50" s="1"/>
  <c r="A155" i="50" s="1"/>
  <c r="A167" i="50" s="1"/>
  <c r="A179" i="50" s="1"/>
  <c r="A191" i="50" s="1"/>
  <c r="A203" i="50" s="1"/>
  <c r="A215" i="50" s="1"/>
  <c r="A227" i="50" s="1"/>
  <c r="A239" i="50" s="1"/>
  <c r="A251" i="50" s="1"/>
  <c r="A263" i="50" s="1"/>
  <c r="A275" i="50" s="1"/>
  <c r="A287" i="50" s="1"/>
  <c r="A299" i="50" s="1"/>
  <c r="A311" i="50" s="1"/>
  <c r="A323" i="50" s="1"/>
  <c r="A335" i="50" s="1"/>
  <c r="A347" i="50" s="1"/>
  <c r="S70" i="50"/>
  <c r="S82" i="50" s="1"/>
  <c r="S94" i="50" s="1"/>
  <c r="S106" i="50" s="1"/>
  <c r="S118" i="50" s="1"/>
  <c r="S130" i="50" s="1"/>
  <c r="S142" i="50" s="1"/>
  <c r="S154" i="50" s="1"/>
  <c r="S166" i="50" s="1"/>
  <c r="S178" i="50" s="1"/>
  <c r="S190" i="50" s="1"/>
  <c r="S202" i="50" s="1"/>
  <c r="S214" i="50" s="1"/>
  <c r="S226" i="50" s="1"/>
  <c r="S238" i="50" s="1"/>
  <c r="S250" i="50" s="1"/>
  <c r="S262" i="50" s="1"/>
  <c r="S274" i="50" s="1"/>
  <c r="S286" i="50" s="1"/>
  <c r="S298" i="50" s="1"/>
  <c r="S310" i="50" s="1"/>
  <c r="S322" i="50" s="1"/>
  <c r="S334" i="50" s="1"/>
  <c r="S346" i="50" s="1"/>
  <c r="J70" i="50"/>
  <c r="J82" i="50" s="1"/>
  <c r="J94" i="50" s="1"/>
  <c r="J106" i="50" s="1"/>
  <c r="J118" i="50" s="1"/>
  <c r="J130" i="50" s="1"/>
  <c r="J142" i="50" s="1"/>
  <c r="J154" i="50" s="1"/>
  <c r="J166" i="50" s="1"/>
  <c r="J178" i="50" s="1"/>
  <c r="J190" i="50" s="1"/>
  <c r="J202" i="50" s="1"/>
  <c r="J214" i="50" s="1"/>
  <c r="J226" i="50" s="1"/>
  <c r="J238" i="50" s="1"/>
  <c r="J250" i="50" s="1"/>
  <c r="J262" i="50" s="1"/>
  <c r="J274" i="50" s="1"/>
  <c r="J286" i="50" s="1"/>
  <c r="J298" i="50" s="1"/>
  <c r="J310" i="50" s="1"/>
  <c r="J322" i="50" s="1"/>
  <c r="J334" i="50" s="1"/>
  <c r="J346" i="50" s="1"/>
  <c r="A70" i="50"/>
  <c r="A82" i="50" s="1"/>
  <c r="A94" i="50" s="1"/>
  <c r="A106" i="50" s="1"/>
  <c r="A118" i="50" s="1"/>
  <c r="A130" i="50" s="1"/>
  <c r="A142" i="50" s="1"/>
  <c r="A154" i="50" s="1"/>
  <c r="A166" i="50" s="1"/>
  <c r="A178" i="50" s="1"/>
  <c r="A190" i="50" s="1"/>
  <c r="A202" i="50" s="1"/>
  <c r="A214" i="50" s="1"/>
  <c r="A226" i="50" s="1"/>
  <c r="A238" i="50" s="1"/>
  <c r="A250" i="50" s="1"/>
  <c r="A262" i="50" s="1"/>
  <c r="A274" i="50" s="1"/>
  <c r="A286" i="50" s="1"/>
  <c r="A298" i="50" s="1"/>
  <c r="A310" i="50" s="1"/>
  <c r="A322" i="50" s="1"/>
  <c r="A334" i="50" s="1"/>
  <c r="A346" i="50" s="1"/>
  <c r="S69" i="50"/>
  <c r="S81" i="50" s="1"/>
  <c r="S93" i="50" s="1"/>
  <c r="S105" i="50" s="1"/>
  <c r="S117" i="50" s="1"/>
  <c r="S129" i="50" s="1"/>
  <c r="S141" i="50" s="1"/>
  <c r="S153" i="50" s="1"/>
  <c r="S165" i="50" s="1"/>
  <c r="S177" i="50" s="1"/>
  <c r="S189" i="50" s="1"/>
  <c r="S201" i="50" s="1"/>
  <c r="S213" i="50" s="1"/>
  <c r="S225" i="50" s="1"/>
  <c r="S237" i="50" s="1"/>
  <c r="S249" i="50" s="1"/>
  <c r="S261" i="50" s="1"/>
  <c r="S273" i="50" s="1"/>
  <c r="S285" i="50" s="1"/>
  <c r="S297" i="50" s="1"/>
  <c r="S309" i="50" s="1"/>
  <c r="S321" i="50" s="1"/>
  <c r="S333" i="50" s="1"/>
  <c r="S345" i="50" s="1"/>
  <c r="J69" i="50"/>
  <c r="J81" i="50" s="1"/>
  <c r="J93" i="50" s="1"/>
  <c r="J105" i="50" s="1"/>
  <c r="J117" i="50" s="1"/>
  <c r="J129" i="50" s="1"/>
  <c r="J141" i="50" s="1"/>
  <c r="J153" i="50" s="1"/>
  <c r="J165" i="50" s="1"/>
  <c r="J177" i="50" s="1"/>
  <c r="J189" i="50" s="1"/>
  <c r="J201" i="50" s="1"/>
  <c r="J213" i="50" s="1"/>
  <c r="J225" i="50" s="1"/>
  <c r="J237" i="50" s="1"/>
  <c r="J249" i="50" s="1"/>
  <c r="J261" i="50" s="1"/>
  <c r="J273" i="50" s="1"/>
  <c r="J285" i="50" s="1"/>
  <c r="J297" i="50" s="1"/>
  <c r="J309" i="50" s="1"/>
  <c r="J321" i="50" s="1"/>
  <c r="J333" i="50" s="1"/>
  <c r="J345" i="50" s="1"/>
  <c r="A69" i="50"/>
  <c r="A81" i="50" s="1"/>
  <c r="A93" i="50" s="1"/>
  <c r="A105" i="50" s="1"/>
  <c r="A117" i="50" s="1"/>
  <c r="A129" i="50" s="1"/>
  <c r="A141" i="50" s="1"/>
  <c r="A153" i="50" s="1"/>
  <c r="A165" i="50" s="1"/>
  <c r="A177" i="50" s="1"/>
  <c r="A189" i="50" s="1"/>
  <c r="A201" i="50" s="1"/>
  <c r="A213" i="50" s="1"/>
  <c r="A225" i="50" s="1"/>
  <c r="A237" i="50" s="1"/>
  <c r="A249" i="50" s="1"/>
  <c r="A261" i="50" s="1"/>
  <c r="A273" i="50" s="1"/>
  <c r="A285" i="50" s="1"/>
  <c r="A297" i="50" s="1"/>
  <c r="A309" i="50" s="1"/>
  <c r="A321" i="50" s="1"/>
  <c r="A333" i="50" s="1"/>
  <c r="A345" i="50" s="1"/>
  <c r="S68" i="50"/>
  <c r="S80" i="50" s="1"/>
  <c r="S92" i="50" s="1"/>
  <c r="S104" i="50" s="1"/>
  <c r="S116" i="50" s="1"/>
  <c r="S128" i="50" s="1"/>
  <c r="S140" i="50" s="1"/>
  <c r="S152" i="50" s="1"/>
  <c r="S164" i="50" s="1"/>
  <c r="S176" i="50" s="1"/>
  <c r="S188" i="50" s="1"/>
  <c r="S200" i="50" s="1"/>
  <c r="S212" i="50" s="1"/>
  <c r="S224" i="50" s="1"/>
  <c r="S236" i="50" s="1"/>
  <c r="S248" i="50" s="1"/>
  <c r="S260" i="50" s="1"/>
  <c r="S272" i="50" s="1"/>
  <c r="S284" i="50" s="1"/>
  <c r="S296" i="50" s="1"/>
  <c r="S308" i="50" s="1"/>
  <c r="S320" i="50" s="1"/>
  <c r="S332" i="50" s="1"/>
  <c r="S344" i="50" s="1"/>
  <c r="J68" i="50"/>
  <c r="J80" i="50" s="1"/>
  <c r="J92" i="50" s="1"/>
  <c r="J104" i="50" s="1"/>
  <c r="J116" i="50" s="1"/>
  <c r="J128" i="50" s="1"/>
  <c r="J140" i="50" s="1"/>
  <c r="J152" i="50" s="1"/>
  <c r="J164" i="50" s="1"/>
  <c r="J176" i="50" s="1"/>
  <c r="J188" i="50" s="1"/>
  <c r="J200" i="50" s="1"/>
  <c r="J212" i="50" s="1"/>
  <c r="J224" i="50" s="1"/>
  <c r="J236" i="50" s="1"/>
  <c r="J248" i="50" s="1"/>
  <c r="J260" i="50" s="1"/>
  <c r="J272" i="50" s="1"/>
  <c r="J284" i="50" s="1"/>
  <c r="J296" i="50" s="1"/>
  <c r="J308" i="50" s="1"/>
  <c r="J320" i="50" s="1"/>
  <c r="J332" i="50" s="1"/>
  <c r="J344" i="50" s="1"/>
  <c r="A68" i="50"/>
  <c r="A80" i="50" s="1"/>
  <c r="A92" i="50" s="1"/>
  <c r="A104" i="50" s="1"/>
  <c r="A116" i="50" s="1"/>
  <c r="A128" i="50" s="1"/>
  <c r="A140" i="50" s="1"/>
  <c r="A152" i="50" s="1"/>
  <c r="A164" i="50" s="1"/>
  <c r="A176" i="50" s="1"/>
  <c r="A188" i="50" s="1"/>
  <c r="A200" i="50" s="1"/>
  <c r="A212" i="50" s="1"/>
  <c r="A224" i="50" s="1"/>
  <c r="A236" i="50" s="1"/>
  <c r="A248" i="50" s="1"/>
  <c r="A260" i="50" s="1"/>
  <c r="A272" i="50" s="1"/>
  <c r="A284" i="50" s="1"/>
  <c r="A296" i="50" s="1"/>
  <c r="A308" i="50" s="1"/>
  <c r="A320" i="50" s="1"/>
  <c r="A332" i="50" s="1"/>
  <c r="A344" i="50" s="1"/>
  <c r="S67" i="50"/>
  <c r="S79" i="50" s="1"/>
  <c r="S91" i="50" s="1"/>
  <c r="S103" i="50" s="1"/>
  <c r="S115" i="50" s="1"/>
  <c r="S127" i="50" s="1"/>
  <c r="S139" i="50" s="1"/>
  <c r="S151" i="50" s="1"/>
  <c r="S163" i="50" s="1"/>
  <c r="S175" i="50" s="1"/>
  <c r="S187" i="50" s="1"/>
  <c r="S199" i="50" s="1"/>
  <c r="S211" i="50" s="1"/>
  <c r="S223" i="50" s="1"/>
  <c r="S235" i="50" s="1"/>
  <c r="S247" i="50" s="1"/>
  <c r="S259" i="50" s="1"/>
  <c r="S271" i="50" s="1"/>
  <c r="S283" i="50" s="1"/>
  <c r="S295" i="50" s="1"/>
  <c r="S307" i="50" s="1"/>
  <c r="S319" i="50" s="1"/>
  <c r="S331" i="50" s="1"/>
  <c r="S343" i="50" s="1"/>
  <c r="J67" i="50"/>
  <c r="J79" i="50" s="1"/>
  <c r="J91" i="50" s="1"/>
  <c r="J103" i="50" s="1"/>
  <c r="J115" i="50" s="1"/>
  <c r="J127" i="50" s="1"/>
  <c r="J139" i="50" s="1"/>
  <c r="J151" i="50" s="1"/>
  <c r="J163" i="50" s="1"/>
  <c r="J175" i="50" s="1"/>
  <c r="J187" i="50" s="1"/>
  <c r="J199" i="50" s="1"/>
  <c r="J211" i="50" s="1"/>
  <c r="J223" i="50" s="1"/>
  <c r="J235" i="50" s="1"/>
  <c r="J247" i="50" s="1"/>
  <c r="J259" i="50" s="1"/>
  <c r="J271" i="50" s="1"/>
  <c r="J283" i="50" s="1"/>
  <c r="J295" i="50" s="1"/>
  <c r="J307" i="50" s="1"/>
  <c r="J319" i="50" s="1"/>
  <c r="J331" i="50" s="1"/>
  <c r="J343" i="50" s="1"/>
  <c r="A67" i="50"/>
  <c r="A79" i="50" s="1"/>
  <c r="A91" i="50" s="1"/>
  <c r="A103" i="50" s="1"/>
  <c r="A115" i="50" s="1"/>
  <c r="A127" i="50" s="1"/>
  <c r="A139" i="50" s="1"/>
  <c r="A151" i="50" s="1"/>
  <c r="A163" i="50" s="1"/>
  <c r="A175" i="50" s="1"/>
  <c r="A187" i="50" s="1"/>
  <c r="A199" i="50" s="1"/>
  <c r="A211" i="50" s="1"/>
  <c r="A223" i="50" s="1"/>
  <c r="A235" i="50" s="1"/>
  <c r="A247" i="50" s="1"/>
  <c r="A259" i="50" s="1"/>
  <c r="A271" i="50" s="1"/>
  <c r="A283" i="50" s="1"/>
  <c r="A295" i="50" s="1"/>
  <c r="A307" i="50" s="1"/>
  <c r="A319" i="50" s="1"/>
  <c r="A331" i="50" s="1"/>
  <c r="A343" i="50" s="1"/>
  <c r="S66" i="50"/>
  <c r="S78" i="50" s="1"/>
  <c r="S90" i="50" s="1"/>
  <c r="S102" i="50" s="1"/>
  <c r="S114" i="50" s="1"/>
  <c r="S126" i="50" s="1"/>
  <c r="S138" i="50" s="1"/>
  <c r="S150" i="50" s="1"/>
  <c r="S162" i="50" s="1"/>
  <c r="S174" i="50" s="1"/>
  <c r="S186" i="50" s="1"/>
  <c r="S198" i="50" s="1"/>
  <c r="S210" i="50" s="1"/>
  <c r="S222" i="50" s="1"/>
  <c r="S234" i="50" s="1"/>
  <c r="S246" i="50" s="1"/>
  <c r="S258" i="50" s="1"/>
  <c r="S270" i="50" s="1"/>
  <c r="S282" i="50" s="1"/>
  <c r="S294" i="50" s="1"/>
  <c r="S306" i="50" s="1"/>
  <c r="S318" i="50" s="1"/>
  <c r="S330" i="50" s="1"/>
  <c r="S342" i="50" s="1"/>
  <c r="J66" i="50"/>
  <c r="J78" i="50" s="1"/>
  <c r="J90" i="50" s="1"/>
  <c r="J102" i="50" s="1"/>
  <c r="J114" i="50" s="1"/>
  <c r="J126" i="50" s="1"/>
  <c r="J138" i="50" s="1"/>
  <c r="J150" i="50" s="1"/>
  <c r="J162" i="50" s="1"/>
  <c r="J174" i="50" s="1"/>
  <c r="J186" i="50" s="1"/>
  <c r="J198" i="50" s="1"/>
  <c r="J210" i="50" s="1"/>
  <c r="J222" i="50" s="1"/>
  <c r="J234" i="50" s="1"/>
  <c r="J246" i="50" s="1"/>
  <c r="J258" i="50" s="1"/>
  <c r="J270" i="50" s="1"/>
  <c r="J282" i="50" s="1"/>
  <c r="J294" i="50" s="1"/>
  <c r="J306" i="50" s="1"/>
  <c r="J318" i="50" s="1"/>
  <c r="J330" i="50" s="1"/>
  <c r="J342" i="50" s="1"/>
  <c r="A66" i="50"/>
  <c r="A78" i="50" s="1"/>
  <c r="A90" i="50" s="1"/>
  <c r="A102" i="50" s="1"/>
  <c r="A114" i="50" s="1"/>
  <c r="A126" i="50" s="1"/>
  <c r="A138" i="50" s="1"/>
  <c r="A150" i="50" s="1"/>
  <c r="A162" i="50" s="1"/>
  <c r="A174" i="50" s="1"/>
  <c r="A186" i="50" s="1"/>
  <c r="A198" i="50" s="1"/>
  <c r="A210" i="50" s="1"/>
  <c r="A222" i="50" s="1"/>
  <c r="A234" i="50" s="1"/>
  <c r="A246" i="50" s="1"/>
  <c r="A258" i="50" s="1"/>
  <c r="A270" i="50" s="1"/>
  <c r="A282" i="50" s="1"/>
  <c r="A294" i="50" s="1"/>
  <c r="A306" i="50" s="1"/>
  <c r="A318" i="50" s="1"/>
  <c r="A330" i="50" s="1"/>
  <c r="A342" i="50" s="1"/>
  <c r="S65" i="50"/>
  <c r="S77" i="50" s="1"/>
  <c r="S89" i="50" s="1"/>
  <c r="S101" i="50" s="1"/>
  <c r="S113" i="50" s="1"/>
  <c r="S125" i="50" s="1"/>
  <c r="S137" i="50" s="1"/>
  <c r="S149" i="50" s="1"/>
  <c r="S161" i="50" s="1"/>
  <c r="S173" i="50" s="1"/>
  <c r="S185" i="50" s="1"/>
  <c r="S197" i="50" s="1"/>
  <c r="S209" i="50" s="1"/>
  <c r="S221" i="50" s="1"/>
  <c r="S233" i="50" s="1"/>
  <c r="S245" i="50" s="1"/>
  <c r="S257" i="50" s="1"/>
  <c r="S269" i="50" s="1"/>
  <c r="S281" i="50" s="1"/>
  <c r="S293" i="50" s="1"/>
  <c r="S305" i="50" s="1"/>
  <c r="S317" i="50" s="1"/>
  <c r="S329" i="50" s="1"/>
  <c r="S341" i="50" s="1"/>
  <c r="J65" i="50"/>
  <c r="J77" i="50" s="1"/>
  <c r="J89" i="50" s="1"/>
  <c r="J101" i="50" s="1"/>
  <c r="J113" i="50" s="1"/>
  <c r="J125" i="50" s="1"/>
  <c r="J137" i="50" s="1"/>
  <c r="J149" i="50" s="1"/>
  <c r="J161" i="50" s="1"/>
  <c r="J173" i="50" s="1"/>
  <c r="J185" i="50" s="1"/>
  <c r="J197" i="50" s="1"/>
  <c r="J209" i="50" s="1"/>
  <c r="J221" i="50" s="1"/>
  <c r="J233" i="50" s="1"/>
  <c r="J245" i="50" s="1"/>
  <c r="J257" i="50" s="1"/>
  <c r="J269" i="50" s="1"/>
  <c r="J281" i="50" s="1"/>
  <c r="J293" i="50" s="1"/>
  <c r="J305" i="50" s="1"/>
  <c r="J317" i="50" s="1"/>
  <c r="J329" i="50" s="1"/>
  <c r="J341" i="50" s="1"/>
  <c r="A65" i="50"/>
  <c r="A77" i="50" s="1"/>
  <c r="A89" i="50" s="1"/>
  <c r="A101" i="50" s="1"/>
  <c r="A113" i="50" s="1"/>
  <c r="A125" i="50" s="1"/>
  <c r="A137" i="50" s="1"/>
  <c r="A149" i="50" s="1"/>
  <c r="A161" i="50" s="1"/>
  <c r="A173" i="50" s="1"/>
  <c r="A185" i="50" s="1"/>
  <c r="A197" i="50" s="1"/>
  <c r="A209" i="50" s="1"/>
  <c r="A221" i="50" s="1"/>
  <c r="A233" i="50" s="1"/>
  <c r="A245" i="50" s="1"/>
  <c r="A257" i="50" s="1"/>
  <c r="A269" i="50" s="1"/>
  <c r="A281" i="50" s="1"/>
  <c r="A293" i="50" s="1"/>
  <c r="A305" i="50" s="1"/>
  <c r="A317" i="50" s="1"/>
  <c r="A329" i="50" s="1"/>
  <c r="A341" i="50" s="1"/>
  <c r="S50" i="50"/>
  <c r="J50" i="50"/>
  <c r="A50" i="50"/>
  <c r="B36" i="50"/>
  <c r="B33" i="50"/>
  <c r="B30" i="50"/>
  <c r="B16" i="50"/>
  <c r="E7" i="50"/>
  <c r="Q55" i="1"/>
  <c r="Q54" i="1"/>
  <c r="C53" i="1"/>
  <c r="A44" i="1"/>
  <c r="F36" i="1"/>
  <c r="G36" i="1" s="1"/>
  <c r="H36" i="1" s="1"/>
  <c r="I36" i="1" s="1"/>
  <c r="J36" i="1" s="1"/>
  <c r="K36" i="1" s="1"/>
  <c r="L36" i="1" s="1"/>
  <c r="M36" i="1" s="1"/>
  <c r="N36" i="1" s="1"/>
  <c r="C32" i="1"/>
  <c r="C31" i="1"/>
  <c r="Q24" i="1"/>
  <c r="I1" i="1"/>
  <c r="Q1" i="31" s="1"/>
  <c r="A1" i="1"/>
  <c r="A1" i="31" s="1"/>
  <c r="A1" i="50" s="1"/>
  <c r="D106" i="62"/>
  <c r="D105" i="62"/>
  <c r="D102" i="62"/>
  <c r="H101" i="62"/>
  <c r="G101" i="62"/>
  <c r="D101" i="62"/>
  <c r="D100" i="62"/>
  <c r="F99" i="62"/>
  <c r="E99" i="62"/>
  <c r="D99" i="62"/>
  <c r="D98" i="62"/>
  <c r="F97" i="62"/>
  <c r="E97" i="62"/>
  <c r="D97" i="62"/>
  <c r="F96" i="62"/>
  <c r="E96" i="62"/>
  <c r="D96" i="62"/>
  <c r="F95" i="62"/>
  <c r="E95" i="62"/>
  <c r="D95" i="62"/>
  <c r="F94" i="62"/>
  <c r="E94" i="62"/>
  <c r="D94" i="62"/>
  <c r="D93" i="62"/>
  <c r="F92" i="62"/>
  <c r="E92" i="62"/>
  <c r="D92" i="62"/>
  <c r="F91" i="62"/>
  <c r="E91" i="62"/>
  <c r="D91" i="62"/>
  <c r="F90" i="62"/>
  <c r="E90" i="62"/>
  <c r="D90" i="62"/>
  <c r="F89" i="62"/>
  <c r="E89" i="62"/>
  <c r="D89" i="62"/>
  <c r="D88" i="62"/>
  <c r="F87" i="62"/>
  <c r="E87" i="62"/>
  <c r="D87" i="62"/>
  <c r="D86" i="62"/>
  <c r="D85" i="62"/>
  <c r="D84" i="62"/>
  <c r="D83" i="62"/>
  <c r="D81" i="62"/>
  <c r="D80" i="62"/>
  <c r="D79" i="62"/>
  <c r="D77" i="62"/>
  <c r="D76" i="62"/>
  <c r="D75" i="62"/>
  <c r="D74" i="62"/>
  <c r="H72" i="62"/>
  <c r="D72" i="62"/>
  <c r="D71" i="62"/>
  <c r="E62" i="62"/>
  <c r="E61" i="62"/>
  <c r="D43" i="62"/>
  <c r="D42" i="62"/>
  <c r="D41" i="62"/>
  <c r="D40" i="62"/>
  <c r="D39" i="62"/>
  <c r="D38" i="62"/>
  <c r="D35" i="62"/>
  <c r="D32" i="62"/>
  <c r="D31" i="62"/>
  <c r="D30" i="62"/>
  <c r="D27" i="62"/>
  <c r="D26" i="62"/>
  <c r="D25" i="62"/>
  <c r="D24" i="62"/>
  <c r="D18" i="62"/>
  <c r="D17" i="62"/>
  <c r="D16" i="62"/>
  <c r="D10" i="62"/>
  <c r="D9" i="62"/>
  <c r="D8" i="62"/>
  <c r="D7" i="62"/>
  <c r="D2" i="62"/>
  <c r="H32" i="63"/>
  <c r="H31" i="63"/>
  <c r="H30" i="63"/>
  <c r="H28" i="63"/>
  <c r="H20" i="63"/>
  <c r="H19" i="63"/>
  <c r="H18" i="63"/>
  <c r="H17" i="63"/>
  <c r="H15" i="63"/>
  <c r="H12" i="63"/>
  <c r="H11" i="63"/>
  <c r="H10" i="63"/>
  <c r="H9" i="63"/>
  <c r="H8" i="63"/>
  <c r="H7" i="63"/>
  <c r="H6" i="63"/>
  <c r="H5" i="63"/>
  <c r="H4" i="63"/>
  <c r="H3" i="63"/>
  <c r="H2" i="63"/>
  <c r="H32" i="61"/>
  <c r="H31" i="61"/>
  <c r="H30" i="61"/>
  <c r="H28" i="61"/>
  <c r="H20" i="61"/>
  <c r="H19" i="61"/>
  <c r="H18" i="61"/>
  <c r="H17" i="61"/>
  <c r="H16" i="61"/>
  <c r="H12" i="61"/>
  <c r="H11" i="61"/>
  <c r="H10" i="61"/>
  <c r="H9" i="61"/>
  <c r="H8" i="61"/>
  <c r="H7" i="61"/>
  <c r="H6" i="61"/>
  <c r="H5" i="61"/>
  <c r="H4" i="61"/>
  <c r="H3" i="61"/>
  <c r="H2" i="61"/>
  <c r="H31" i="60"/>
  <c r="H30" i="60"/>
  <c r="H29" i="60"/>
  <c r="H27" i="60"/>
  <c r="H19" i="60"/>
  <c r="H18" i="60"/>
  <c r="H17" i="60"/>
  <c r="H16" i="60"/>
  <c r="H14" i="60"/>
  <c r="H11" i="60"/>
  <c r="H10" i="60"/>
  <c r="H9" i="60"/>
  <c r="H8" i="60"/>
  <c r="H7" i="60"/>
  <c r="H6" i="60"/>
  <c r="H5" i="60"/>
  <c r="H4" i="60"/>
  <c r="H3" i="60"/>
  <c r="H2" i="60"/>
  <c r="C56" i="38"/>
  <c r="K7" i="38"/>
  <c r="K5" i="38"/>
  <c r="K4" i="38"/>
  <c r="K3" i="38"/>
  <c r="B75" i="36"/>
  <c r="B74" i="36"/>
  <c r="C62" i="36"/>
  <c r="B62" i="36"/>
  <c r="A62" i="36"/>
  <c r="A61" i="36"/>
  <c r="C60" i="36"/>
  <c r="B60" i="36"/>
  <c r="A60" i="36"/>
  <c r="A59" i="36"/>
  <c r="A58" i="36"/>
  <c r="C57" i="36"/>
  <c r="B57" i="36"/>
  <c r="A57" i="36"/>
  <c r="C56" i="36"/>
  <c r="B56" i="36"/>
  <c r="A56" i="36"/>
  <c r="C55" i="36"/>
  <c r="B55" i="36"/>
  <c r="A55" i="36"/>
  <c r="A54" i="36"/>
  <c r="C53" i="36"/>
  <c r="B53" i="36"/>
  <c r="A53" i="36"/>
  <c r="C52" i="36"/>
  <c r="B52" i="36"/>
  <c r="A52" i="36"/>
  <c r="C51" i="36"/>
  <c r="B51" i="36"/>
  <c r="A51" i="36"/>
  <c r="C50" i="36"/>
  <c r="B50" i="36"/>
  <c r="A50" i="36"/>
  <c r="A49" i="36"/>
  <c r="C48" i="36"/>
  <c r="B48" i="36"/>
  <c r="A48" i="36"/>
  <c r="G43" i="36"/>
  <c r="A33" i="36"/>
  <c r="A32" i="36"/>
  <c r="A31" i="36"/>
  <c r="H29" i="36"/>
  <c r="A29" i="36"/>
  <c r="A28" i="36"/>
  <c r="A25" i="36"/>
  <c r="B16" i="36"/>
  <c r="L11" i="36"/>
  <c r="L10" i="36"/>
  <c r="I9" i="36"/>
  <c r="I8" i="36"/>
  <c r="B5" i="36" s="1"/>
  <c r="L7" i="36"/>
  <c r="I7" i="36"/>
  <c r="B7" i="36"/>
  <c r="C47" i="36" s="1"/>
  <c r="D27" i="36"/>
  <c r="L6" i="36"/>
  <c r="I6" i="36"/>
  <c r="B4" i="36" s="1"/>
  <c r="B6" i="36"/>
  <c r="B47" i="36" s="1"/>
  <c r="B27" i="36"/>
  <c r="L5" i="36"/>
  <c r="D5" i="36"/>
  <c r="L4" i="36"/>
  <c r="I3" i="36"/>
  <c r="D1" i="36"/>
  <c r="L8" i="36"/>
  <c r="D28" i="62"/>
  <c r="G4" i="51"/>
  <c r="B1" i="36"/>
  <c r="B24" i="54"/>
  <c r="B25" i="54" s="1"/>
  <c r="B26" i="54" s="1"/>
  <c r="F51" i="36"/>
  <c r="U29" i="33"/>
  <c r="C63" i="36"/>
  <c r="C66" i="36"/>
  <c r="B66" i="36"/>
  <c r="D22" i="55" l="1"/>
  <c r="D23" i="55"/>
  <c r="D26" i="55"/>
  <c r="D27" i="55"/>
  <c r="D28" i="55"/>
  <c r="D32" i="55"/>
  <c r="D33" i="55"/>
  <c r="D10" i="55"/>
  <c r="D13" i="55"/>
  <c r="D14" i="55"/>
  <c r="D24" i="55"/>
  <c r="D25" i="55"/>
  <c r="D29" i="55"/>
  <c r="D30" i="55"/>
  <c r="D31" i="55"/>
  <c r="D8" i="55"/>
  <c r="D9" i="55"/>
  <c r="D34" i="55"/>
  <c r="D11" i="55"/>
  <c r="D12" i="55"/>
  <c r="D15" i="55"/>
  <c r="D16" i="55"/>
  <c r="D17" i="55"/>
  <c r="D18" i="55"/>
  <c r="D19" i="55"/>
  <c r="D21" i="55"/>
  <c r="D20" i="55"/>
  <c r="L9004" i="55"/>
  <c r="H9003" i="55"/>
  <c r="G18" i="28"/>
  <c r="H18" i="28" s="1"/>
  <c r="C22" i="69"/>
  <c r="F18" i="28"/>
  <c r="F16" i="49"/>
  <c r="I16" i="49"/>
  <c r="I19" i="49" s="1"/>
  <c r="F17" i="51"/>
  <c r="F18" i="51"/>
  <c r="B23" i="36"/>
  <c r="F19" i="51"/>
  <c r="B22" i="36"/>
  <c r="U26" i="33"/>
  <c r="U21" i="33"/>
  <c r="C44" i="50"/>
  <c r="G36" i="28" s="1"/>
  <c r="U16" i="33"/>
  <c r="N10" i="25"/>
  <c r="U20" i="33"/>
  <c r="G2" i="66"/>
  <c r="J2" i="66" s="1"/>
  <c r="K8" i="31"/>
  <c r="F2" i="66"/>
  <c r="I2" i="66" s="1"/>
  <c r="D2" i="66"/>
  <c r="D32" i="33"/>
  <c r="G32" i="33" s="1"/>
  <c r="U24" i="33"/>
  <c r="L16" i="33"/>
  <c r="U32" i="33"/>
  <c r="S16" i="33" a="1"/>
  <c r="S16" i="33" s="1"/>
  <c r="R16" i="33" a="1"/>
  <c r="R16" i="33" s="1"/>
  <c r="S24" i="33" a="1"/>
  <c r="S24" i="33" s="1"/>
  <c r="R24" i="33" a="1"/>
  <c r="R24" i="33" s="1"/>
  <c r="D4" i="66"/>
  <c r="D3" i="66"/>
  <c r="D6" i="66"/>
  <c r="D5" i="66"/>
  <c r="E6" i="66"/>
  <c r="H6" i="66" s="1"/>
  <c r="E3" i="66"/>
  <c r="H3" i="66" s="1"/>
  <c r="E4" i="66"/>
  <c r="H4" i="66" s="1"/>
  <c r="E5" i="66"/>
  <c r="H5" i="66" s="1"/>
  <c r="K9" i="31"/>
  <c r="F6" i="66"/>
  <c r="I6" i="66" s="1"/>
  <c r="F4" i="66"/>
  <c r="I4" i="66" s="1"/>
  <c r="F5" i="66"/>
  <c r="I5" i="66" s="1"/>
  <c r="F3" i="66"/>
  <c r="I3" i="66" s="1"/>
  <c r="G3" i="66"/>
  <c r="J3" i="66" s="1"/>
  <c r="G6" i="66"/>
  <c r="J6" i="66" s="1"/>
  <c r="G4" i="66"/>
  <c r="J4" i="66" s="1"/>
  <c r="G5" i="66"/>
  <c r="J5" i="66" s="1"/>
  <c r="O6" i="48"/>
  <c r="P6" i="48"/>
  <c r="Q6" i="48"/>
  <c r="O13" i="33"/>
  <c r="H33" i="51"/>
  <c r="B33" i="36"/>
  <c r="U14" i="33"/>
  <c r="U22" i="33"/>
  <c r="D30" i="33"/>
  <c r="D22" i="33"/>
  <c r="G22" i="33" s="1"/>
  <c r="S22" i="33" a="1"/>
  <c r="S22" i="33" s="1"/>
  <c r="O30" i="33"/>
  <c r="O25" i="33"/>
  <c r="B14" i="54"/>
  <c r="B15" i="54" s="1"/>
  <c r="B16" i="54" s="1"/>
  <c r="L9" i="36"/>
  <c r="D24" i="33"/>
  <c r="S30" i="33" a="1"/>
  <c r="S30" i="33" s="1"/>
  <c r="C24" i="33"/>
  <c r="H24" i="33" s="1"/>
  <c r="D20" i="33"/>
  <c r="G20" i="33" s="1"/>
  <c r="R30" i="33" a="1"/>
  <c r="R30" i="33" s="1"/>
  <c r="D16" i="33"/>
  <c r="S32" i="33" a="1"/>
  <c r="S32" i="33" s="1"/>
  <c r="J13" i="26"/>
  <c r="L12" i="33"/>
  <c r="D25" i="33"/>
  <c r="G25" i="33" s="1"/>
  <c r="S17" i="33" a="1"/>
  <c r="S17" i="33" s="1"/>
  <c r="U28" i="33"/>
  <c r="V28" i="33" s="1"/>
  <c r="U25" i="33"/>
  <c r="U17" i="33"/>
  <c r="R17" i="33" a="1"/>
  <c r="R17" i="33" s="1"/>
  <c r="U12" i="33"/>
  <c r="D12" i="33"/>
  <c r="G12" i="33" s="1"/>
  <c r="O28" i="33"/>
  <c r="O33" i="33"/>
  <c r="U18" i="33"/>
  <c r="U27" i="33"/>
  <c r="D27" i="33"/>
  <c r="G27" i="33" s="1"/>
  <c r="D73" i="62"/>
  <c r="L9006" i="55"/>
  <c r="U23" i="33"/>
  <c r="E76" i="62"/>
  <c r="U30" i="33"/>
  <c r="U31" i="33"/>
  <c r="S13" i="33" a="1"/>
  <c r="S13" i="33" s="1"/>
  <c r="S21" i="33" a="1"/>
  <c r="S21" i="33" s="1"/>
  <c r="I20" i="33"/>
  <c r="O21" i="33"/>
  <c r="H9007" i="55"/>
  <c r="A18" i="54"/>
  <c r="A19" i="54" s="1"/>
  <c r="A20" i="54" s="1"/>
  <c r="A21" i="54" s="1"/>
  <c r="D15" i="33"/>
  <c r="G15" i="33" s="1"/>
  <c r="R13" i="33" a="1"/>
  <c r="R13" i="33" s="1"/>
  <c r="R21" i="33" a="1"/>
  <c r="R21" i="33" s="1"/>
  <c r="I24" i="33"/>
  <c r="D14" i="33"/>
  <c r="G14" i="33" s="1"/>
  <c r="R14" i="33" a="1"/>
  <c r="R14" i="33" s="1"/>
  <c r="H9002" i="55"/>
  <c r="L23" i="33"/>
  <c r="O14" i="33"/>
  <c r="D23" i="33"/>
  <c r="G23" i="33" s="1"/>
  <c r="R22" i="33" a="1"/>
  <c r="R22" i="33" s="1"/>
  <c r="R20" i="33" a="1"/>
  <c r="R20" i="33" s="1"/>
  <c r="R32" i="33" a="1"/>
  <c r="R32" i="33" s="1"/>
  <c r="O20" i="33"/>
  <c r="C28" i="33"/>
  <c r="H28" i="33" s="1"/>
  <c r="L18" i="33"/>
  <c r="U34" i="33"/>
  <c r="D18" i="33"/>
  <c r="O12" i="33"/>
  <c r="D26" i="33"/>
  <c r="G26" i="33" s="1"/>
  <c r="D34" i="33"/>
  <c r="C12" i="33"/>
  <c r="H12" i="33" s="1"/>
  <c r="N47" i="49"/>
  <c r="D12" i="30"/>
  <c r="R28" i="33" a="1"/>
  <c r="R28" i="33" s="1"/>
  <c r="R12" i="33" a="1"/>
  <c r="R12" i="33" s="1"/>
  <c r="S20" i="33" a="1"/>
  <c r="S20" i="33" s="1"/>
  <c r="S28" i="33" a="1"/>
  <c r="S28" i="33" s="1"/>
  <c r="N13" i="31"/>
  <c r="G13" i="31" s="1"/>
  <c r="A58" i="38"/>
  <c r="J9007" i="55"/>
  <c r="L24" i="33"/>
  <c r="A57" i="38"/>
  <c r="A30" i="36"/>
  <c r="S26" i="33" a="1"/>
  <c r="S26" i="33" s="1"/>
  <c r="R26" i="33" a="1"/>
  <c r="R26" i="33" s="1"/>
  <c r="N24" i="31"/>
  <c r="G24" i="31" s="1"/>
  <c r="J9006" i="55"/>
  <c r="P13" i="31"/>
  <c r="I13" i="31" s="1"/>
  <c r="P24" i="31"/>
  <c r="J9005" i="55"/>
  <c r="H9005" i="55"/>
  <c r="H9001" i="55"/>
  <c r="A56" i="38"/>
  <c r="L9003" i="55"/>
  <c r="J9002" i="55"/>
  <c r="L9002" i="55"/>
  <c r="J9004" i="55"/>
  <c r="H9006" i="55"/>
  <c r="L9005" i="55"/>
  <c r="S12" i="33" a="1"/>
  <c r="S12" i="33" s="1"/>
  <c r="I16" i="33"/>
  <c r="I32" i="33"/>
  <c r="L20" i="33"/>
  <c r="L32" i="33"/>
  <c r="O16" i="33"/>
  <c r="O32" i="33"/>
  <c r="C20" i="33"/>
  <c r="I12" i="33"/>
  <c r="I28" i="33"/>
  <c r="L28" i="33"/>
  <c r="O24" i="33"/>
  <c r="C16" i="33"/>
  <c r="H16" i="33" s="1"/>
  <c r="C32" i="33"/>
  <c r="H32" i="33" s="1"/>
  <c r="P12" i="54"/>
  <c r="L26" i="33"/>
  <c r="L34" i="33"/>
  <c r="N34" i="33" s="1"/>
  <c r="O26" i="33"/>
  <c r="L14" i="33"/>
  <c r="L22" i="33"/>
  <c r="O17" i="33"/>
  <c r="O22" i="33"/>
  <c r="C18" i="33"/>
  <c r="C30" i="33"/>
  <c r="L30" i="33"/>
  <c r="O18" i="33"/>
  <c r="O34" i="33"/>
  <c r="P34" i="33" s="1"/>
  <c r="S34" i="33" a="1"/>
  <c r="S34" i="33" s="1"/>
  <c r="R34" i="33" a="1"/>
  <c r="R34" i="33" s="1"/>
  <c r="K35" i="31"/>
  <c r="D6" i="55"/>
  <c r="J24" i="31"/>
  <c r="E24" i="31" s="1"/>
  <c r="N35" i="31"/>
  <c r="G35" i="31" s="1"/>
  <c r="K24" i="31"/>
  <c r="O13" i="31"/>
  <c r="H13" i="31" s="1"/>
  <c r="O35" i="31"/>
  <c r="H35" i="31" s="1"/>
  <c r="O57" i="31"/>
  <c r="K57" i="31" s="1"/>
  <c r="M35" i="31"/>
  <c r="F35" i="31" s="1"/>
  <c r="J46" i="31"/>
  <c r="E46" i="31" s="1"/>
  <c r="D31" i="33"/>
  <c r="G31" i="33" s="1"/>
  <c r="C31" i="33"/>
  <c r="H31" i="33" s="1"/>
  <c r="U19" i="33"/>
  <c r="U15" i="33"/>
  <c r="U35" i="33"/>
  <c r="D19" i="33"/>
  <c r="D35" i="33"/>
  <c r="G35" i="33" s="1"/>
  <c r="I23" i="33"/>
  <c r="C14" i="33"/>
  <c r="U11" i="33"/>
  <c r="D11" i="33"/>
  <c r="I15" i="33"/>
  <c r="S27" i="33" a="1"/>
  <c r="S27" i="33" s="1"/>
  <c r="I35" i="33"/>
  <c r="L19" i="33"/>
  <c r="L35" i="33"/>
  <c r="C19" i="33"/>
  <c r="H19" i="33" s="1"/>
  <c r="C27" i="33"/>
  <c r="H27" i="33" s="1"/>
  <c r="I11" i="33"/>
  <c r="I19" i="33"/>
  <c r="I27" i="33"/>
  <c r="L15" i="33"/>
  <c r="L31" i="33"/>
  <c r="O11" i="33"/>
  <c r="O15" i="33"/>
  <c r="O19" i="33"/>
  <c r="O23" i="33"/>
  <c r="O27" i="33"/>
  <c r="O31" i="33"/>
  <c r="O35" i="33"/>
  <c r="C15" i="33"/>
  <c r="I31" i="33"/>
  <c r="L11" i="33"/>
  <c r="L27" i="33"/>
  <c r="C11" i="33"/>
  <c r="C23" i="33"/>
  <c r="C35" i="33"/>
  <c r="S35" i="33" a="1"/>
  <c r="S35" i="33" s="1"/>
  <c r="S19" i="33" a="1"/>
  <c r="S19" i="33" s="1"/>
  <c r="S11" i="33" a="1"/>
  <c r="S11" i="33" s="1"/>
  <c r="R19" i="33" a="1"/>
  <c r="R19" i="33" s="1"/>
  <c r="R27" i="33" a="1"/>
  <c r="R27" i="33" s="1"/>
  <c r="R35" i="33" a="1"/>
  <c r="R35" i="33" s="1"/>
  <c r="R11" i="33" a="1"/>
  <c r="R11" i="33" s="1"/>
  <c r="S15" i="33" a="1"/>
  <c r="S15" i="33" s="1"/>
  <c r="S23" i="33" a="1"/>
  <c r="S23" i="33" s="1"/>
  <c r="S31" i="33" a="1"/>
  <c r="S31" i="33" s="1"/>
  <c r="R15" i="33" a="1"/>
  <c r="R15" i="33" s="1"/>
  <c r="R23" i="33" a="1"/>
  <c r="R23" i="33" s="1"/>
  <c r="R31" i="33" a="1"/>
  <c r="R31" i="33" s="1"/>
  <c r="P37" i="54"/>
  <c r="P57" i="54"/>
  <c r="P31" i="54"/>
  <c r="P35" i="31"/>
  <c r="I35" i="31" s="1"/>
  <c r="P57" i="31"/>
  <c r="I57" i="31" s="1"/>
  <c r="M24" i="31"/>
  <c r="F24" i="31" s="1"/>
  <c r="O46" i="31"/>
  <c r="K46" i="31" s="1"/>
  <c r="M46" i="31"/>
  <c r="F46" i="31" s="1"/>
  <c r="M13" i="31"/>
  <c r="F13" i="31" s="1"/>
  <c r="J13" i="31"/>
  <c r="E13" i="31" s="1"/>
  <c r="N57" i="31"/>
  <c r="G57" i="31" s="1"/>
  <c r="O24" i="31"/>
  <c r="H24" i="31" s="1"/>
  <c r="P46" i="31"/>
  <c r="I46" i="31" s="1"/>
  <c r="J35" i="31"/>
  <c r="E35" i="31" s="1"/>
  <c r="N46" i="31"/>
  <c r="G46" i="31" s="1"/>
  <c r="M57" i="31"/>
  <c r="F57" i="31" s="1"/>
  <c r="J57" i="31"/>
  <c r="E57" i="31" s="1"/>
  <c r="L1006" i="55"/>
  <c r="N12" i="26"/>
  <c r="H26" i="25"/>
  <c r="N14" i="26"/>
  <c r="M15" i="26" s="1"/>
  <c r="N11" i="26"/>
  <c r="E65" i="62"/>
  <c r="P29" i="54"/>
  <c r="G3" i="28"/>
  <c r="V64" i="28" s="1"/>
  <c r="P44" i="54"/>
  <c r="P36" i="54"/>
  <c r="B29" i="54"/>
  <c r="L11" i="26"/>
  <c r="P66" i="54"/>
  <c r="P41" i="54"/>
  <c r="P32" i="54"/>
  <c r="N9" i="26"/>
  <c r="I29" i="33"/>
  <c r="J29" i="33" s="1"/>
  <c r="I33" i="33"/>
  <c r="V29" i="33"/>
  <c r="G29" i="33"/>
  <c r="G28" i="33"/>
  <c r="E67" i="62"/>
  <c r="R12" i="54"/>
  <c r="D13" i="33"/>
  <c r="D33" i="33"/>
  <c r="S14" i="33" a="1"/>
  <c r="S14" i="33" s="1"/>
  <c r="S18" i="33" a="1"/>
  <c r="S18" i="33" s="1"/>
  <c r="S25" i="33" a="1"/>
  <c r="S25" i="33" s="1"/>
  <c r="S29" i="33" a="1"/>
  <c r="S29" i="33" s="1"/>
  <c r="S33" i="33" a="1"/>
  <c r="S33" i="33" s="1"/>
  <c r="I13" i="33"/>
  <c r="I17" i="33"/>
  <c r="I21" i="33"/>
  <c r="I25" i="33"/>
  <c r="I30" i="33"/>
  <c r="I34" i="33"/>
  <c r="K34" i="33" s="1"/>
  <c r="C26" i="33"/>
  <c r="F20" i="51"/>
  <c r="E64" i="62"/>
  <c r="I24" i="31"/>
  <c r="K41" i="31"/>
  <c r="U13" i="33"/>
  <c r="A23" i="54"/>
  <c r="P69" i="54" s="1"/>
  <c r="U33" i="33"/>
  <c r="D17" i="33"/>
  <c r="D21" i="33"/>
  <c r="G21" i="33" s="1"/>
  <c r="R18" i="33" a="1"/>
  <c r="R18" i="33" s="1"/>
  <c r="R25" i="33" a="1"/>
  <c r="R25" i="33" s="1"/>
  <c r="R29" i="33" a="1"/>
  <c r="R29" i="33" s="1"/>
  <c r="R33" i="33" a="1"/>
  <c r="R33" i="33" s="1"/>
  <c r="I14" i="33"/>
  <c r="I18" i="33"/>
  <c r="I22" i="33"/>
  <c r="I26" i="33"/>
  <c r="L13" i="33"/>
  <c r="L17" i="33"/>
  <c r="L21" i="33"/>
  <c r="L25" i="33"/>
  <c r="L29" i="33"/>
  <c r="M29" i="33" s="1"/>
  <c r="L33" i="33"/>
  <c r="C22" i="33"/>
  <c r="O20" i="51"/>
  <c r="H22" i="37"/>
  <c r="K53" i="50"/>
  <c r="K54" i="50" s="1"/>
  <c r="K55" i="50" s="1"/>
  <c r="K56" i="50" s="1"/>
  <c r="K57" i="50" s="1"/>
  <c r="K58" i="50" s="1"/>
  <c r="K59" i="50" s="1"/>
  <c r="K60" i="50" s="1"/>
  <c r="K61" i="50" s="1"/>
  <c r="K62" i="50" s="1"/>
  <c r="K63" i="50" s="1"/>
  <c r="K64" i="50" s="1"/>
  <c r="K65" i="50" s="1"/>
  <c r="K66" i="50" s="1"/>
  <c r="K67" i="50" s="1"/>
  <c r="K68" i="50" s="1"/>
  <c r="K69" i="50" s="1"/>
  <c r="K70" i="50" s="1"/>
  <c r="K71" i="50" s="1"/>
  <c r="K72" i="50" s="1"/>
  <c r="K73" i="50" s="1"/>
  <c r="K74" i="50" s="1"/>
  <c r="K75" i="50" s="1"/>
  <c r="K76" i="50" s="1"/>
  <c r="K77" i="50" s="1"/>
  <c r="K78" i="50" s="1"/>
  <c r="K79" i="50" s="1"/>
  <c r="K80" i="50" s="1"/>
  <c r="K81" i="50" s="1"/>
  <c r="K82" i="50" s="1"/>
  <c r="K83" i="50" s="1"/>
  <c r="K84" i="50" s="1"/>
  <c r="K85" i="50" s="1"/>
  <c r="K86" i="50" s="1"/>
  <c r="K87" i="50" s="1"/>
  <c r="K88" i="50" s="1"/>
  <c r="K89" i="50" s="1"/>
  <c r="K90" i="50" s="1"/>
  <c r="K91" i="50" s="1"/>
  <c r="K92" i="50" s="1"/>
  <c r="K93" i="50" s="1"/>
  <c r="K94" i="50" s="1"/>
  <c r="K95" i="50" s="1"/>
  <c r="K96" i="50" s="1"/>
  <c r="O19" i="51"/>
  <c r="H21" i="25"/>
  <c r="E53" i="50"/>
  <c r="E19" i="50" s="1"/>
  <c r="H25" i="25"/>
  <c r="F1006" i="55"/>
  <c r="J1002" i="55"/>
  <c r="J1004" i="55"/>
  <c r="E66" i="62"/>
  <c r="D43" i="50"/>
  <c r="H35" i="28" s="1"/>
  <c r="D45" i="50"/>
  <c r="H37" i="28" s="1"/>
  <c r="E29" i="50"/>
  <c r="E42" i="50" s="1"/>
  <c r="I34" i="28" s="1"/>
  <c r="H3" i="28"/>
  <c r="A29" i="54"/>
  <c r="P46" i="54" s="1"/>
  <c r="P39" i="54"/>
  <c r="L14" i="26"/>
  <c r="K15" i="26" s="1"/>
  <c r="P67" i="54"/>
  <c r="P52" i="54"/>
  <c r="P45" i="54"/>
  <c r="P22" i="54"/>
  <c r="B34" i="54"/>
  <c r="B35" i="54" s="1"/>
  <c r="B36" i="54" s="1"/>
  <c r="P71" i="54"/>
  <c r="P63" i="54"/>
  <c r="P55" i="54"/>
  <c r="P35" i="54"/>
  <c r="E68" i="62"/>
  <c r="D42" i="50"/>
  <c r="H34" i="28" s="1"/>
  <c r="D44" i="50"/>
  <c r="H36" i="28" s="1"/>
  <c r="AA53" i="50"/>
  <c r="C45" i="50" s="1"/>
  <c r="G37" i="28" s="1"/>
  <c r="I24" i="25"/>
  <c r="H24" i="25"/>
  <c r="F1001" i="55"/>
  <c r="F1004" i="55"/>
  <c r="L1004" i="55"/>
  <c r="J1005" i="55"/>
  <c r="J1006" i="55"/>
  <c r="B20" i="36"/>
  <c r="C13" i="33"/>
  <c r="C17" i="33"/>
  <c r="C21" i="33"/>
  <c r="C25" i="33"/>
  <c r="C29" i="33"/>
  <c r="T29" i="33" s="1"/>
  <c r="C33" i="33"/>
  <c r="N24" i="30"/>
  <c r="H24" i="37" s="1"/>
  <c r="D33" i="36"/>
  <c r="G76" i="62"/>
  <c r="M16" i="26"/>
  <c r="M21" i="26" s="1"/>
  <c r="M40" i="26" s="1"/>
  <c r="J33" i="51"/>
  <c r="P10" i="25"/>
  <c r="K16" i="26"/>
  <c r="K21" i="26" s="1"/>
  <c r="K41" i="26" s="1"/>
  <c r="N1" i="54"/>
  <c r="H1" i="50"/>
  <c r="L13" i="26"/>
  <c r="L12" i="26"/>
  <c r="P60" i="54"/>
  <c r="P64" i="54"/>
  <c r="P19" i="54"/>
  <c r="P30" i="54"/>
  <c r="P16" i="54"/>
  <c r="P24" i="54"/>
  <c r="P70" i="54"/>
  <c r="P65" i="54"/>
  <c r="P54" i="54"/>
  <c r="P50" i="54"/>
  <c r="P43" i="54"/>
  <c r="P47" i="54"/>
  <c r="P26" i="54"/>
  <c r="P18" i="54"/>
  <c r="A13" i="54"/>
  <c r="P15" i="54"/>
  <c r="P23" i="54"/>
  <c r="P27" i="54"/>
  <c r="P34" i="54"/>
  <c r="P20" i="54"/>
  <c r="B19" i="36"/>
  <c r="B45" i="1"/>
  <c r="T53" i="50"/>
  <c r="T54" i="50" s="1"/>
  <c r="T55" i="50" s="1"/>
  <c r="T56" i="50" s="1"/>
  <c r="T57" i="50" s="1"/>
  <c r="T58" i="50" s="1"/>
  <c r="T59" i="50" s="1"/>
  <c r="T60" i="50" s="1"/>
  <c r="T61" i="50" s="1"/>
  <c r="T62" i="50" s="1"/>
  <c r="T63" i="50" s="1"/>
  <c r="T64" i="50" s="1"/>
  <c r="T65" i="50" s="1"/>
  <c r="T66" i="50" s="1"/>
  <c r="T67" i="50" s="1"/>
  <c r="T68" i="50" s="1"/>
  <c r="T69" i="50" s="1"/>
  <c r="T70" i="50" s="1"/>
  <c r="T71" i="50" s="1"/>
  <c r="T72" i="50" s="1"/>
  <c r="T73" i="50" s="1"/>
  <c r="T74" i="50" s="1"/>
  <c r="T75" i="50" s="1"/>
  <c r="T76" i="50" s="1"/>
  <c r="T77" i="50" s="1"/>
  <c r="T78" i="50" s="1"/>
  <c r="T79" i="50" s="1"/>
  <c r="T80" i="50" s="1"/>
  <c r="T81" i="50" s="1"/>
  <c r="T82" i="50" s="1"/>
  <c r="T83" i="50" s="1"/>
  <c r="T84" i="50" s="1"/>
  <c r="T85" i="50" s="1"/>
  <c r="T86" i="50" s="1"/>
  <c r="T87" i="50" s="1"/>
  <c r="T88" i="50" s="1"/>
  <c r="T89" i="50" s="1"/>
  <c r="T90" i="50" s="1"/>
  <c r="T91" i="50" s="1"/>
  <c r="T92" i="50" s="1"/>
  <c r="T93" i="50" s="1"/>
  <c r="T94" i="50" s="1"/>
  <c r="T95" i="50" s="1"/>
  <c r="T96" i="50" s="1"/>
  <c r="T97" i="50" s="1"/>
  <c r="T98" i="50" s="1"/>
  <c r="T99" i="50" s="1"/>
  <c r="T100" i="50" s="1"/>
  <c r="T101" i="50" s="1"/>
  <c r="T102" i="50" s="1"/>
  <c r="T103" i="50" s="1"/>
  <c r="T104" i="50" s="1"/>
  <c r="T105" i="50" s="1"/>
  <c r="T106" i="50" s="1"/>
  <c r="T107" i="50" s="1"/>
  <c r="T108" i="50" s="1"/>
  <c r="T109" i="50" s="1"/>
  <c r="T110" i="50" s="1"/>
  <c r="T111" i="50" s="1"/>
  <c r="T112" i="50" s="1"/>
  <c r="T113" i="50" s="1"/>
  <c r="T114" i="50" s="1"/>
  <c r="T115" i="50" s="1"/>
  <c r="T116" i="50" s="1"/>
  <c r="T117" i="50" s="1"/>
  <c r="T118" i="50" s="1"/>
  <c r="T119" i="50" s="1"/>
  <c r="T120" i="50" s="1"/>
  <c r="T121" i="50" s="1"/>
  <c r="T122" i="50" s="1"/>
  <c r="T123" i="50" s="1"/>
  <c r="T124" i="50" s="1"/>
  <c r="T125" i="50" s="1"/>
  <c r="T126" i="50" s="1"/>
  <c r="T127" i="50" s="1"/>
  <c r="T128" i="50" s="1"/>
  <c r="T129" i="50" s="1"/>
  <c r="T130" i="50" s="1"/>
  <c r="T131" i="50" s="1"/>
  <c r="T132" i="50" s="1"/>
  <c r="T133" i="50" s="1"/>
  <c r="T134" i="50" s="1"/>
  <c r="T135" i="50" s="1"/>
  <c r="T136" i="50" s="1"/>
  <c r="T137" i="50" s="1"/>
  <c r="T138" i="50" s="1"/>
  <c r="T139" i="50" s="1"/>
  <c r="T140" i="50" s="1"/>
  <c r="T141" i="50" s="1"/>
  <c r="T142" i="50" s="1"/>
  <c r="T143" i="50" s="1"/>
  <c r="T144" i="50" s="1"/>
  <c r="T145" i="50" s="1"/>
  <c r="T146" i="50" s="1"/>
  <c r="T147" i="50" s="1"/>
  <c r="T148" i="50" s="1"/>
  <c r="T149" i="50" s="1"/>
  <c r="T150" i="50" s="1"/>
  <c r="T151" i="50" s="1"/>
  <c r="T152" i="50" s="1"/>
  <c r="T153" i="50" s="1"/>
  <c r="T154" i="50" s="1"/>
  <c r="T155" i="50" s="1"/>
  <c r="T156" i="50" s="1"/>
  <c r="T157" i="50" s="1"/>
  <c r="T158" i="50" s="1"/>
  <c r="T159" i="50" s="1"/>
  <c r="T160" i="50" s="1"/>
  <c r="T161" i="50" s="1"/>
  <c r="T162" i="50" s="1"/>
  <c r="T163" i="50" s="1"/>
  <c r="T164" i="50" s="1"/>
  <c r="T165" i="50" s="1"/>
  <c r="T166" i="50" s="1"/>
  <c r="T167" i="50" s="1"/>
  <c r="T168" i="50" s="1"/>
  <c r="T169" i="50" s="1"/>
  <c r="T170" i="50" s="1"/>
  <c r="T171" i="50" s="1"/>
  <c r="T172" i="50" s="1"/>
  <c r="T173" i="50" s="1"/>
  <c r="T174" i="50" s="1"/>
  <c r="T175" i="50" s="1"/>
  <c r="T176" i="50" s="1"/>
  <c r="T177" i="50" s="1"/>
  <c r="T178" i="50" s="1"/>
  <c r="T179" i="50" s="1"/>
  <c r="T180" i="50" s="1"/>
  <c r="T181" i="50" s="1"/>
  <c r="T182" i="50" s="1"/>
  <c r="T183" i="50" s="1"/>
  <c r="T184" i="50" s="1"/>
  <c r="T185" i="50" s="1"/>
  <c r="T186" i="50" s="1"/>
  <c r="T187" i="50" s="1"/>
  <c r="T188" i="50" s="1"/>
  <c r="T189" i="50" s="1"/>
  <c r="T190" i="50" s="1"/>
  <c r="T191" i="50" s="1"/>
  <c r="T192" i="50" s="1"/>
  <c r="T193" i="50" s="1"/>
  <c r="T194" i="50" s="1"/>
  <c r="T195" i="50" s="1"/>
  <c r="T196" i="50" s="1"/>
  <c r="T197" i="50" s="1"/>
  <c r="T198" i="50" s="1"/>
  <c r="T199" i="50" s="1"/>
  <c r="T200" i="50" s="1"/>
  <c r="T201" i="50" s="1"/>
  <c r="T202" i="50" s="1"/>
  <c r="T203" i="50" s="1"/>
  <c r="T204" i="50" s="1"/>
  <c r="T205" i="50" s="1"/>
  <c r="T206" i="50" s="1"/>
  <c r="T207" i="50" s="1"/>
  <c r="T208" i="50" s="1"/>
  <c r="T209" i="50" s="1"/>
  <c r="T210" i="50" s="1"/>
  <c r="T211" i="50" s="1"/>
  <c r="T212" i="50" s="1"/>
  <c r="T213" i="50" s="1"/>
  <c r="T214" i="50" s="1"/>
  <c r="T215" i="50" s="1"/>
  <c r="T216" i="50" s="1"/>
  <c r="T217" i="50" s="1"/>
  <c r="T218" i="50" s="1"/>
  <c r="T219" i="50" s="1"/>
  <c r="T220" i="50" s="1"/>
  <c r="T221" i="50" s="1"/>
  <c r="T222" i="50" s="1"/>
  <c r="T223" i="50" s="1"/>
  <c r="T224" i="50" s="1"/>
  <c r="T225" i="50" s="1"/>
  <c r="T226" i="50" s="1"/>
  <c r="T227" i="50" s="1"/>
  <c r="T228" i="50" s="1"/>
  <c r="T229" i="50" s="1"/>
  <c r="T230" i="50" s="1"/>
  <c r="T231" i="50" s="1"/>
  <c r="T232" i="50" s="1"/>
  <c r="T233" i="50" s="1"/>
  <c r="T234" i="50" s="1"/>
  <c r="T235" i="50" s="1"/>
  <c r="T236" i="50" s="1"/>
  <c r="T237" i="50" s="1"/>
  <c r="T238" i="50" s="1"/>
  <c r="T239" i="50" s="1"/>
  <c r="T240" i="50" s="1"/>
  <c r="T241" i="50" s="1"/>
  <c r="T242" i="50" s="1"/>
  <c r="T243" i="50" s="1"/>
  <c r="T244" i="50" s="1"/>
  <c r="T245" i="50" s="1"/>
  <c r="T246" i="50" s="1"/>
  <c r="T247" i="50" s="1"/>
  <c r="T248" i="50" s="1"/>
  <c r="T249" i="50" s="1"/>
  <c r="T250" i="50" s="1"/>
  <c r="T251" i="50" s="1"/>
  <c r="T252" i="50" s="1"/>
  <c r="T253" i="50" s="1"/>
  <c r="T254" i="50" s="1"/>
  <c r="T255" i="50" s="1"/>
  <c r="T256" i="50" s="1"/>
  <c r="T257" i="50" s="1"/>
  <c r="T258" i="50" s="1"/>
  <c r="T259" i="50" s="1"/>
  <c r="T260" i="50" s="1"/>
  <c r="T261" i="50" s="1"/>
  <c r="T262" i="50" s="1"/>
  <c r="T263" i="50" s="1"/>
  <c r="T264" i="50" s="1"/>
  <c r="T265" i="50" s="1"/>
  <c r="T266" i="50" s="1"/>
  <c r="T267" i="50" s="1"/>
  <c r="T268" i="50" s="1"/>
  <c r="T269" i="50" s="1"/>
  <c r="T270" i="50" s="1"/>
  <c r="T271" i="50" s="1"/>
  <c r="T272" i="50" s="1"/>
  <c r="T273" i="50" s="1"/>
  <c r="T274" i="50" s="1"/>
  <c r="T275" i="50" s="1"/>
  <c r="T276" i="50" s="1"/>
  <c r="T277" i="50" s="1"/>
  <c r="T278" i="50" s="1"/>
  <c r="T279" i="50" s="1"/>
  <c r="T280" i="50" s="1"/>
  <c r="T281" i="50" s="1"/>
  <c r="T282" i="50" s="1"/>
  <c r="T283" i="50" s="1"/>
  <c r="T284" i="50" s="1"/>
  <c r="T285" i="50" s="1"/>
  <c r="T286" i="50" s="1"/>
  <c r="T287" i="50" s="1"/>
  <c r="T288" i="50" s="1"/>
  <c r="T289" i="50" s="1"/>
  <c r="T290" i="50" s="1"/>
  <c r="T291" i="50" s="1"/>
  <c r="T292" i="50" s="1"/>
  <c r="T293" i="50" s="1"/>
  <c r="T294" i="50" s="1"/>
  <c r="T295" i="50" s="1"/>
  <c r="T296" i="50" s="1"/>
  <c r="T297" i="50" s="1"/>
  <c r="T298" i="50" s="1"/>
  <c r="T299" i="50" s="1"/>
  <c r="T300" i="50" s="1"/>
  <c r="T301" i="50" s="1"/>
  <c r="T302" i="50" s="1"/>
  <c r="T303" i="50" s="1"/>
  <c r="T304" i="50" s="1"/>
  <c r="T305" i="50" s="1"/>
  <c r="T306" i="50" s="1"/>
  <c r="T307" i="50" s="1"/>
  <c r="T308" i="50" s="1"/>
  <c r="T309" i="50" s="1"/>
  <c r="T310" i="50" s="1"/>
  <c r="T311" i="50" s="1"/>
  <c r="T312" i="50" s="1"/>
  <c r="T313" i="50" s="1"/>
  <c r="T314" i="50" s="1"/>
  <c r="T315" i="50" s="1"/>
  <c r="T316" i="50" s="1"/>
  <c r="T317" i="50" s="1"/>
  <c r="T318" i="50" s="1"/>
  <c r="T319" i="50" s="1"/>
  <c r="T320" i="50" s="1"/>
  <c r="T321" i="50" s="1"/>
  <c r="T322" i="50" s="1"/>
  <c r="T323" i="50" s="1"/>
  <c r="T324" i="50" s="1"/>
  <c r="T325" i="50" s="1"/>
  <c r="T326" i="50" s="1"/>
  <c r="T327" i="50" s="1"/>
  <c r="T328" i="50" s="1"/>
  <c r="T329" i="50" s="1"/>
  <c r="T330" i="50" s="1"/>
  <c r="T331" i="50" s="1"/>
  <c r="T332" i="50" s="1"/>
  <c r="T333" i="50" s="1"/>
  <c r="T334" i="50" s="1"/>
  <c r="T335" i="50" s="1"/>
  <c r="T336" i="50" s="1"/>
  <c r="T337" i="50" s="1"/>
  <c r="T338" i="50" s="1"/>
  <c r="T339" i="50" s="1"/>
  <c r="T340" i="50" s="1"/>
  <c r="T341" i="50" s="1"/>
  <c r="T342" i="50" s="1"/>
  <c r="T343" i="50" s="1"/>
  <c r="T344" i="50" s="1"/>
  <c r="T345" i="50" s="1"/>
  <c r="T346" i="50" s="1"/>
  <c r="T347" i="50" s="1"/>
  <c r="T348" i="50" s="1"/>
  <c r="T349" i="50" s="1"/>
  <c r="T350" i="50" s="1"/>
  <c r="T351" i="50" s="1"/>
  <c r="T352" i="50" s="1"/>
  <c r="T353" i="50" s="1"/>
  <c r="M24" i="30"/>
  <c r="B53" i="50"/>
  <c r="C42" i="50"/>
  <c r="G34" i="28" s="1"/>
  <c r="M53" i="50"/>
  <c r="C55" i="50"/>
  <c r="J1001" i="55"/>
  <c r="H1001" i="55"/>
  <c r="I1008" i="55"/>
  <c r="I9008" i="55" s="1"/>
  <c r="H1005" i="55"/>
  <c r="J1007" i="55"/>
  <c r="H1007" i="55"/>
  <c r="H1003" i="55"/>
  <c r="F1003" i="55"/>
  <c r="J1003" i="55"/>
  <c r="L1007" i="55"/>
  <c r="D7" i="55"/>
  <c r="J9" i="26"/>
  <c r="J12" i="26"/>
  <c r="I16" i="26"/>
  <c r="I21" i="26" s="1"/>
  <c r="I41" i="26" s="1"/>
  <c r="F1002" i="55"/>
  <c r="H1002" i="55"/>
  <c r="F1005" i="55"/>
  <c r="H34" i="33"/>
  <c r="B21" i="36"/>
  <c r="E9" i="25"/>
  <c r="L97" i="50"/>
  <c r="E1008" i="55"/>
  <c r="G1008" i="55"/>
  <c r="G9008" i="55" s="1"/>
  <c r="D116" i="62"/>
  <c r="J14" i="26"/>
  <c r="I15" i="26" s="1"/>
  <c r="D117" i="62"/>
  <c r="I18" i="28"/>
  <c r="D15" i="62"/>
  <c r="D20" i="62" s="1"/>
  <c r="Q31" i="1"/>
  <c r="Q32" i="1" s="1"/>
  <c r="Q33" i="1" s="1"/>
  <c r="Q34" i="1" s="1"/>
  <c r="Q35" i="1" s="1"/>
  <c r="G56" i="28"/>
  <c r="N27" i="30"/>
  <c r="H27" i="37" s="1"/>
  <c r="D8" i="30"/>
  <c r="D33" i="62"/>
  <c r="G44" i="28"/>
  <c r="N53" i="50"/>
  <c r="G59" i="28"/>
  <c r="H61" i="28"/>
  <c r="G52" i="28"/>
  <c r="G54" i="28"/>
  <c r="G53" i="28"/>
  <c r="G57" i="28"/>
  <c r="G51" i="28"/>
  <c r="G58" i="28"/>
  <c r="G55" i="28"/>
  <c r="F18" i="55" l="1"/>
  <c r="L18" i="55"/>
  <c r="J18" i="55"/>
  <c r="H18" i="55"/>
  <c r="L17" i="55"/>
  <c r="F17" i="55"/>
  <c r="J17" i="55"/>
  <c r="H17" i="55"/>
  <c r="F8" i="55"/>
  <c r="L8" i="55"/>
  <c r="J8" i="55"/>
  <c r="H8" i="55"/>
  <c r="F16" i="55"/>
  <c r="L16" i="55"/>
  <c r="J16" i="55"/>
  <c r="H16" i="55"/>
  <c r="F15" i="55"/>
  <c r="L15" i="55"/>
  <c r="J15" i="55"/>
  <c r="H15" i="55"/>
  <c r="F12" i="55"/>
  <c r="L12" i="55"/>
  <c r="J12" i="55"/>
  <c r="H12" i="55"/>
  <c r="F30" i="55"/>
  <c r="L30" i="55"/>
  <c r="J30" i="55"/>
  <c r="H30" i="55"/>
  <c r="F25" i="55"/>
  <c r="L25" i="55"/>
  <c r="H25" i="55"/>
  <c r="J25" i="55"/>
  <c r="F24" i="55"/>
  <c r="L24" i="55"/>
  <c r="J24" i="55"/>
  <c r="H24" i="55"/>
  <c r="F11" i="55"/>
  <c r="L11" i="55"/>
  <c r="J11" i="55"/>
  <c r="H11" i="55"/>
  <c r="F34" i="55"/>
  <c r="L34" i="55"/>
  <c r="H34" i="55"/>
  <c r="J34" i="55"/>
  <c r="F9" i="55"/>
  <c r="L9" i="55"/>
  <c r="J9" i="55"/>
  <c r="H9" i="55"/>
  <c r="L33" i="55"/>
  <c r="F33" i="55"/>
  <c r="J33" i="55"/>
  <c r="H33" i="55"/>
  <c r="F32" i="55"/>
  <c r="L32" i="55"/>
  <c r="H32" i="55"/>
  <c r="J32" i="55"/>
  <c r="F28" i="55"/>
  <c r="L28" i="55"/>
  <c r="H28" i="55"/>
  <c r="J28" i="55"/>
  <c r="F14" i="55"/>
  <c r="J14" i="55"/>
  <c r="L14" i="55"/>
  <c r="H14" i="55"/>
  <c r="L13" i="55"/>
  <c r="F13" i="55"/>
  <c r="J13" i="55"/>
  <c r="H13" i="55"/>
  <c r="F10" i="55"/>
  <c r="L10" i="55"/>
  <c r="H10" i="55"/>
  <c r="J10" i="55"/>
  <c r="L27" i="55"/>
  <c r="F27" i="55"/>
  <c r="H27" i="55"/>
  <c r="J27" i="55"/>
  <c r="L20" i="55"/>
  <c r="F20" i="55"/>
  <c r="H20" i="55"/>
  <c r="J20" i="55"/>
  <c r="F26" i="55"/>
  <c r="L26" i="55"/>
  <c r="H26" i="55"/>
  <c r="J26" i="55"/>
  <c r="F21" i="55"/>
  <c r="L21" i="55"/>
  <c r="H21" i="55"/>
  <c r="J21" i="55"/>
  <c r="F23" i="55"/>
  <c r="L23" i="55"/>
  <c r="H23" i="55"/>
  <c r="J23" i="55"/>
  <c r="L31" i="55"/>
  <c r="F31" i="55"/>
  <c r="J31" i="55"/>
  <c r="H31" i="55"/>
  <c r="F29" i="55"/>
  <c r="L29" i="55"/>
  <c r="H29" i="55"/>
  <c r="J29" i="55"/>
  <c r="F19" i="55"/>
  <c r="L19" i="55"/>
  <c r="J19" i="55"/>
  <c r="H19" i="55"/>
  <c r="F22" i="55"/>
  <c r="L22" i="55"/>
  <c r="H22" i="55"/>
  <c r="J22" i="55"/>
  <c r="M30" i="33"/>
  <c r="T22" i="33"/>
  <c r="M32" i="33"/>
  <c r="C4" i="69"/>
  <c r="C5" i="69"/>
  <c r="E21" i="50"/>
  <c r="I25" i="49"/>
  <c r="L64" i="55"/>
  <c r="L56" i="55"/>
  <c r="L48" i="55"/>
  <c r="L40" i="55"/>
  <c r="L62" i="55"/>
  <c r="L54" i="55"/>
  <c r="L46" i="55"/>
  <c r="L38" i="55"/>
  <c r="L65" i="55"/>
  <c r="L61" i="55"/>
  <c r="L57" i="55"/>
  <c r="L53" i="55"/>
  <c r="L49" i="55"/>
  <c r="L45" i="55"/>
  <c r="L41" i="55"/>
  <c r="L37" i="55"/>
  <c r="L60" i="55"/>
  <c r="L52" i="55"/>
  <c r="L44" i="55"/>
  <c r="L36" i="55"/>
  <c r="L66" i="55"/>
  <c r="L58" i="55"/>
  <c r="L50" i="55"/>
  <c r="L42" i="55"/>
  <c r="L67" i="55"/>
  <c r="L63" i="55"/>
  <c r="L59" i="55"/>
  <c r="L55" i="55"/>
  <c r="L51" i="55"/>
  <c r="L47" i="55"/>
  <c r="L43" i="55"/>
  <c r="L39" i="55"/>
  <c r="D1008" i="55"/>
  <c r="J1008" i="55" s="1"/>
  <c r="H11" i="33"/>
  <c r="J16" i="33"/>
  <c r="V16" i="33"/>
  <c r="J32" i="33"/>
  <c r="V32" i="33"/>
  <c r="K13" i="31"/>
  <c r="E16" i="33"/>
  <c r="V24" i="33"/>
  <c r="D29" i="62"/>
  <c r="E24" i="33"/>
  <c r="L543" i="55"/>
  <c r="L415" i="55"/>
  <c r="L287" i="55"/>
  <c r="L150" i="55"/>
  <c r="L573" i="55"/>
  <c r="L445" i="55"/>
  <c r="L317" i="55"/>
  <c r="L189" i="55"/>
  <c r="L105" i="55"/>
  <c r="L278" i="55"/>
  <c r="L604" i="55"/>
  <c r="L396" i="55"/>
  <c r="L204" i="55"/>
  <c r="L550" i="55"/>
  <c r="L170" i="55"/>
  <c r="L492" i="55"/>
  <c r="L316" i="55"/>
  <c r="L555" i="55"/>
  <c r="L491" i="55"/>
  <c r="L427" i="55"/>
  <c r="L363" i="55"/>
  <c r="L299" i="55"/>
  <c r="L235" i="55"/>
  <c r="L166" i="55"/>
  <c r="L81" i="55"/>
  <c r="L566" i="55"/>
  <c r="L302" i="55"/>
  <c r="L548" i="55"/>
  <c r="L356" i="55"/>
  <c r="L157" i="55"/>
  <c r="L586" i="55"/>
  <c r="L522" i="55"/>
  <c r="L458" i="55"/>
  <c r="L394" i="55"/>
  <c r="L330" i="55"/>
  <c r="L266" i="55"/>
  <c r="L202" i="55"/>
  <c r="L122" i="55"/>
  <c r="L478" i="55"/>
  <c r="L85" i="55"/>
  <c r="L553" i="55"/>
  <c r="L489" i="55"/>
  <c r="L425" i="55"/>
  <c r="L361" i="55"/>
  <c r="L297" i="55"/>
  <c r="L233" i="55"/>
  <c r="L163" i="55"/>
  <c r="L78" i="55"/>
  <c r="L568" i="55"/>
  <c r="L504" i="55"/>
  <c r="L440" i="55"/>
  <c r="L376" i="55"/>
  <c r="L312" i="55"/>
  <c r="L248" i="55"/>
  <c r="L183" i="55"/>
  <c r="L98" i="55"/>
  <c r="L124" i="55"/>
  <c r="L128" i="55"/>
  <c r="L599" i="55"/>
  <c r="L535" i="55"/>
  <c r="L471" i="55"/>
  <c r="L407" i="55"/>
  <c r="L343" i="55"/>
  <c r="L279" i="55"/>
  <c r="L215" i="55"/>
  <c r="L139" i="55"/>
  <c r="L486" i="55"/>
  <c r="L181" i="55"/>
  <c r="L565" i="55"/>
  <c r="L501" i="55"/>
  <c r="L437" i="55"/>
  <c r="L373" i="55"/>
  <c r="L309" i="55"/>
  <c r="L245" i="55"/>
  <c r="L179" i="55"/>
  <c r="L94" i="55"/>
  <c r="L582" i="55"/>
  <c r="L238" i="55"/>
  <c r="L580" i="55"/>
  <c r="L372" i="55"/>
  <c r="L178" i="55"/>
  <c r="L494" i="55"/>
  <c r="L138" i="55"/>
  <c r="L468" i="55"/>
  <c r="L292" i="55"/>
  <c r="L547" i="55"/>
  <c r="L483" i="55"/>
  <c r="L419" i="55"/>
  <c r="L355" i="55"/>
  <c r="L291" i="55"/>
  <c r="L227" i="55"/>
  <c r="L155" i="55"/>
  <c r="L70" i="55"/>
  <c r="L534" i="55"/>
  <c r="L270" i="55"/>
  <c r="L524" i="55"/>
  <c r="L332" i="55"/>
  <c r="L125" i="55"/>
  <c r="L578" i="55"/>
  <c r="L514" i="55"/>
  <c r="L450" i="55"/>
  <c r="L386" i="55"/>
  <c r="L322" i="55"/>
  <c r="L258" i="55"/>
  <c r="L194" i="55"/>
  <c r="L111" i="55"/>
  <c r="L430" i="55"/>
  <c r="L545" i="55"/>
  <c r="L481" i="55"/>
  <c r="L417" i="55"/>
  <c r="L353" i="55"/>
  <c r="L289" i="55"/>
  <c r="L225" i="55"/>
  <c r="L153" i="55"/>
  <c r="L560" i="55"/>
  <c r="L496" i="55"/>
  <c r="L432" i="55"/>
  <c r="L368" i="55"/>
  <c r="L304" i="55"/>
  <c r="L240" i="55"/>
  <c r="L173" i="55"/>
  <c r="L87" i="55"/>
  <c r="L180" i="55"/>
  <c r="L116" i="55"/>
  <c r="L184" i="55"/>
  <c r="L120" i="55"/>
  <c r="L607" i="55"/>
  <c r="L479" i="55"/>
  <c r="L351" i="55"/>
  <c r="L223" i="55"/>
  <c r="L518" i="55"/>
  <c r="L222" i="55"/>
  <c r="L509" i="55"/>
  <c r="L381" i="55"/>
  <c r="L253" i="55"/>
  <c r="L103" i="55"/>
  <c r="L591" i="55"/>
  <c r="L527" i="55"/>
  <c r="L463" i="55"/>
  <c r="L399" i="55"/>
  <c r="L335" i="55"/>
  <c r="L271" i="55"/>
  <c r="L207" i="55"/>
  <c r="L129" i="55"/>
  <c r="L438" i="55"/>
  <c r="L117" i="55"/>
  <c r="L557" i="55"/>
  <c r="L493" i="55"/>
  <c r="L429" i="55"/>
  <c r="L365" i="55"/>
  <c r="L301" i="55"/>
  <c r="L237" i="55"/>
  <c r="L169" i="55"/>
  <c r="L83" i="55"/>
  <c r="L542" i="55"/>
  <c r="L206" i="55"/>
  <c r="L556" i="55"/>
  <c r="L348" i="55"/>
  <c r="L146" i="55"/>
  <c r="L454" i="55"/>
  <c r="L95" i="55"/>
  <c r="L444" i="55"/>
  <c r="L268" i="55"/>
  <c r="L603" i="55"/>
  <c r="L539" i="55"/>
  <c r="L475" i="55"/>
  <c r="L411" i="55"/>
  <c r="L347" i="55"/>
  <c r="L283" i="55"/>
  <c r="L219" i="55"/>
  <c r="L145" i="55"/>
  <c r="L510" i="55"/>
  <c r="L230" i="55"/>
  <c r="L500" i="55"/>
  <c r="L308" i="55"/>
  <c r="L93" i="55"/>
  <c r="L570" i="55"/>
  <c r="L506" i="55"/>
  <c r="L442" i="55"/>
  <c r="L378" i="55"/>
  <c r="L314" i="55"/>
  <c r="L250" i="55"/>
  <c r="L186" i="55"/>
  <c r="L101" i="55"/>
  <c r="L390" i="55"/>
  <c r="L601" i="55"/>
  <c r="L537" i="55"/>
  <c r="L473" i="55"/>
  <c r="L409" i="55"/>
  <c r="L345" i="55"/>
  <c r="L281" i="55"/>
  <c r="L217" i="55"/>
  <c r="L142" i="55"/>
  <c r="L552" i="55"/>
  <c r="L488" i="55"/>
  <c r="L424" i="55"/>
  <c r="L360" i="55"/>
  <c r="L296" i="55"/>
  <c r="L232" i="55"/>
  <c r="L162" i="55"/>
  <c r="L77" i="55"/>
  <c r="L172" i="55"/>
  <c r="L108" i="55"/>
  <c r="L176" i="55"/>
  <c r="L112" i="55"/>
  <c r="L583" i="55"/>
  <c r="L519" i="55"/>
  <c r="L455" i="55"/>
  <c r="L391" i="55"/>
  <c r="L327" i="55"/>
  <c r="L263" i="55"/>
  <c r="L199" i="55"/>
  <c r="L118" i="55"/>
  <c r="L398" i="55"/>
  <c r="L549" i="55"/>
  <c r="L485" i="55"/>
  <c r="L421" i="55"/>
  <c r="L357" i="55"/>
  <c r="L293" i="55"/>
  <c r="L229" i="55"/>
  <c r="L158" i="55"/>
  <c r="L73" i="55"/>
  <c r="L502" i="55"/>
  <c r="L159" i="55"/>
  <c r="L532" i="55"/>
  <c r="L324" i="55"/>
  <c r="L114" i="55"/>
  <c r="L406" i="55"/>
  <c r="L436" i="55"/>
  <c r="L244" i="55"/>
  <c r="L595" i="55"/>
  <c r="L531" i="55"/>
  <c r="L467" i="55"/>
  <c r="L403" i="55"/>
  <c r="L339" i="55"/>
  <c r="L275" i="55"/>
  <c r="L211" i="55"/>
  <c r="L134" i="55"/>
  <c r="L470" i="55"/>
  <c r="L198" i="55"/>
  <c r="L476" i="55"/>
  <c r="L284" i="55"/>
  <c r="L71" i="55"/>
  <c r="L562" i="55"/>
  <c r="L498" i="55"/>
  <c r="L434" i="55"/>
  <c r="L370" i="55"/>
  <c r="L306" i="55"/>
  <c r="L242" i="55"/>
  <c r="L175" i="55"/>
  <c r="L90" i="55"/>
  <c r="L350" i="55"/>
  <c r="L593" i="55"/>
  <c r="L529" i="55"/>
  <c r="L465" i="55"/>
  <c r="L401" i="55"/>
  <c r="L337" i="55"/>
  <c r="L273" i="55"/>
  <c r="L209" i="55"/>
  <c r="L131" i="55"/>
  <c r="L544" i="55"/>
  <c r="L480" i="55"/>
  <c r="L416" i="55"/>
  <c r="L352" i="55"/>
  <c r="L288" i="55"/>
  <c r="L224" i="55"/>
  <c r="L151" i="55"/>
  <c r="L164" i="55"/>
  <c r="L100" i="55"/>
  <c r="L168" i="55"/>
  <c r="L104" i="55"/>
  <c r="L575" i="55"/>
  <c r="L511" i="55"/>
  <c r="L447" i="55"/>
  <c r="L383" i="55"/>
  <c r="L319" i="55"/>
  <c r="L255" i="55"/>
  <c r="L191" i="55"/>
  <c r="L107" i="55"/>
  <c r="L358" i="55"/>
  <c r="L605" i="55"/>
  <c r="L541" i="55"/>
  <c r="L477" i="55"/>
  <c r="L413" i="55"/>
  <c r="L349" i="55"/>
  <c r="L285" i="55"/>
  <c r="L221" i="55"/>
  <c r="L147" i="55"/>
  <c r="L462" i="55"/>
  <c r="L149" i="55"/>
  <c r="L508" i="55"/>
  <c r="L300" i="55"/>
  <c r="L82" i="55"/>
  <c r="L366" i="55"/>
  <c r="L588" i="55"/>
  <c r="L412" i="55"/>
  <c r="L220" i="55"/>
  <c r="L587" i="55"/>
  <c r="L523" i="55"/>
  <c r="L459" i="55"/>
  <c r="L395" i="55"/>
  <c r="L331" i="55"/>
  <c r="L267" i="55"/>
  <c r="L203" i="55"/>
  <c r="L123" i="55"/>
  <c r="L446" i="55"/>
  <c r="L106" i="55"/>
  <c r="L452" i="55"/>
  <c r="L260" i="55"/>
  <c r="L554" i="55"/>
  <c r="L490" i="55"/>
  <c r="L426" i="55"/>
  <c r="L362" i="55"/>
  <c r="L298" i="55"/>
  <c r="L234" i="55"/>
  <c r="L165" i="55"/>
  <c r="L79" i="55"/>
  <c r="L318" i="55"/>
  <c r="L585" i="55"/>
  <c r="L521" i="55"/>
  <c r="L457" i="55"/>
  <c r="L393" i="55"/>
  <c r="L329" i="55"/>
  <c r="L265" i="55"/>
  <c r="L201" i="55"/>
  <c r="L121" i="55"/>
  <c r="L600" i="55"/>
  <c r="L536" i="55"/>
  <c r="L472" i="55"/>
  <c r="L408" i="55"/>
  <c r="L344" i="55"/>
  <c r="L280" i="55"/>
  <c r="L216" i="55"/>
  <c r="L141" i="55"/>
  <c r="L156" i="55"/>
  <c r="L92" i="55"/>
  <c r="L160" i="55"/>
  <c r="L96" i="55"/>
  <c r="L567" i="55"/>
  <c r="L503" i="55"/>
  <c r="L439" i="55"/>
  <c r="L375" i="55"/>
  <c r="L311" i="55"/>
  <c r="L247" i="55"/>
  <c r="L182" i="55"/>
  <c r="L97" i="55"/>
  <c r="L334" i="55"/>
  <c r="L597" i="55"/>
  <c r="L533" i="55"/>
  <c r="L469" i="55"/>
  <c r="L405" i="55"/>
  <c r="L341" i="55"/>
  <c r="L277" i="55"/>
  <c r="L213" i="55"/>
  <c r="L137" i="55"/>
  <c r="L422" i="55"/>
  <c r="L127" i="55"/>
  <c r="L484" i="55"/>
  <c r="L276" i="55"/>
  <c r="L310" i="55"/>
  <c r="L564" i="55"/>
  <c r="L388" i="55"/>
  <c r="L196" i="55"/>
  <c r="L579" i="55"/>
  <c r="L515" i="55"/>
  <c r="L451" i="55"/>
  <c r="L387" i="55"/>
  <c r="L323" i="55"/>
  <c r="L259" i="55"/>
  <c r="L195" i="55"/>
  <c r="L113" i="55"/>
  <c r="L414" i="55"/>
  <c r="L428" i="55"/>
  <c r="L236" i="55"/>
  <c r="L546" i="55"/>
  <c r="L482" i="55"/>
  <c r="L418" i="55"/>
  <c r="L354" i="55"/>
  <c r="L290" i="55"/>
  <c r="L226" i="55"/>
  <c r="L154" i="55"/>
  <c r="L69" i="55"/>
  <c r="L286" i="55"/>
  <c r="L577" i="55"/>
  <c r="L513" i="55"/>
  <c r="L449" i="55"/>
  <c r="L385" i="55"/>
  <c r="L321" i="55"/>
  <c r="L257" i="55"/>
  <c r="L193" i="55"/>
  <c r="L110" i="55"/>
  <c r="L592" i="55"/>
  <c r="L528" i="55"/>
  <c r="L464" i="55"/>
  <c r="L400" i="55"/>
  <c r="L336" i="55"/>
  <c r="L272" i="55"/>
  <c r="L208" i="55"/>
  <c r="L130" i="55"/>
  <c r="L148" i="55"/>
  <c r="L84" i="55"/>
  <c r="L152" i="55"/>
  <c r="L88" i="55"/>
  <c r="L559" i="55"/>
  <c r="L495" i="55"/>
  <c r="L431" i="55"/>
  <c r="L367" i="55"/>
  <c r="L303" i="55"/>
  <c r="L239" i="55"/>
  <c r="L171" i="55"/>
  <c r="L86" i="55"/>
  <c r="L606" i="55"/>
  <c r="L294" i="55"/>
  <c r="L589" i="55"/>
  <c r="L525" i="55"/>
  <c r="L461" i="55"/>
  <c r="L397" i="55"/>
  <c r="L333" i="55"/>
  <c r="L269" i="55"/>
  <c r="L205" i="55"/>
  <c r="L126" i="55"/>
  <c r="L374" i="55"/>
  <c r="L74" i="55"/>
  <c r="L460" i="55"/>
  <c r="L252" i="55"/>
  <c r="L254" i="55"/>
  <c r="L540" i="55"/>
  <c r="L364" i="55"/>
  <c r="L167" i="55"/>
  <c r="L571" i="55"/>
  <c r="L507" i="55"/>
  <c r="L443" i="55"/>
  <c r="L379" i="55"/>
  <c r="L315" i="55"/>
  <c r="L251" i="55"/>
  <c r="L187" i="55"/>
  <c r="L102" i="55"/>
  <c r="L382" i="55"/>
  <c r="L596" i="55"/>
  <c r="L404" i="55"/>
  <c r="L212" i="55"/>
  <c r="L602" i="55"/>
  <c r="L538" i="55"/>
  <c r="L474" i="55"/>
  <c r="L410" i="55"/>
  <c r="L346" i="55"/>
  <c r="L282" i="55"/>
  <c r="L218" i="55"/>
  <c r="L143" i="55"/>
  <c r="L574" i="55"/>
  <c r="L246" i="55"/>
  <c r="L569" i="55"/>
  <c r="L505" i="55"/>
  <c r="L441" i="55"/>
  <c r="L377" i="55"/>
  <c r="L313" i="55"/>
  <c r="L249" i="55"/>
  <c r="L185" i="55"/>
  <c r="L99" i="55"/>
  <c r="L584" i="55"/>
  <c r="L520" i="55"/>
  <c r="L456" i="55"/>
  <c r="L392" i="55"/>
  <c r="L328" i="55"/>
  <c r="L264" i="55"/>
  <c r="L200" i="55"/>
  <c r="L119" i="55"/>
  <c r="L140" i="55"/>
  <c r="L76" i="55"/>
  <c r="L144" i="55"/>
  <c r="L80" i="55"/>
  <c r="L551" i="55"/>
  <c r="L487" i="55"/>
  <c r="L423" i="55"/>
  <c r="L359" i="55"/>
  <c r="L295" i="55"/>
  <c r="L231" i="55"/>
  <c r="L161" i="55"/>
  <c r="L75" i="55"/>
  <c r="L558" i="55"/>
  <c r="L262" i="55"/>
  <c r="L581" i="55"/>
  <c r="L517" i="55"/>
  <c r="L453" i="55"/>
  <c r="L389" i="55"/>
  <c r="L325" i="55"/>
  <c r="L261" i="55"/>
  <c r="L197" i="55"/>
  <c r="L115" i="55"/>
  <c r="L326" i="55"/>
  <c r="L420" i="55"/>
  <c r="L228" i="55"/>
  <c r="L590" i="55"/>
  <c r="L214" i="55"/>
  <c r="L516" i="55"/>
  <c r="L340" i="55"/>
  <c r="L135" i="55"/>
  <c r="L563" i="55"/>
  <c r="L499" i="55"/>
  <c r="L435" i="55"/>
  <c r="L371" i="55"/>
  <c r="L307" i="55"/>
  <c r="L243" i="55"/>
  <c r="L177" i="55"/>
  <c r="L91" i="55"/>
  <c r="L598" i="55"/>
  <c r="L342" i="55"/>
  <c r="L572" i="55"/>
  <c r="L380" i="55"/>
  <c r="L188" i="55"/>
  <c r="L594" i="55"/>
  <c r="L530" i="55"/>
  <c r="L466" i="55"/>
  <c r="L402" i="55"/>
  <c r="L338" i="55"/>
  <c r="L274" i="55"/>
  <c r="L210" i="55"/>
  <c r="L133" i="55"/>
  <c r="L526" i="55"/>
  <c r="L190" i="55"/>
  <c r="L561" i="55"/>
  <c r="L497" i="55"/>
  <c r="L433" i="55"/>
  <c r="L369" i="55"/>
  <c r="L305" i="55"/>
  <c r="L241" i="55"/>
  <c r="L174" i="55"/>
  <c r="L89" i="55"/>
  <c r="L576" i="55"/>
  <c r="L512" i="55"/>
  <c r="L448" i="55"/>
  <c r="L384" i="55"/>
  <c r="L320" i="55"/>
  <c r="L256" i="55"/>
  <c r="L192" i="55"/>
  <c r="L109" i="55"/>
  <c r="L132" i="55"/>
  <c r="L136" i="55"/>
  <c r="L72" i="55"/>
  <c r="P33" i="33"/>
  <c r="L6" i="66"/>
  <c r="K6" i="66"/>
  <c r="M6" i="66"/>
  <c r="M4" i="66"/>
  <c r="K4" i="66"/>
  <c r="L4" i="66"/>
  <c r="M2" i="66"/>
  <c r="K2" i="66"/>
  <c r="L2" i="66"/>
  <c r="M5" i="66"/>
  <c r="L5" i="66"/>
  <c r="K5" i="66"/>
  <c r="K3" i="66"/>
  <c r="L3" i="66"/>
  <c r="M3" i="66"/>
  <c r="V27" i="33"/>
  <c r="J27" i="33"/>
  <c r="L805" i="55"/>
  <c r="L797" i="55"/>
  <c r="L789" i="55"/>
  <c r="L781" i="55"/>
  <c r="L773" i="55"/>
  <c r="L765" i="55"/>
  <c r="L757" i="55"/>
  <c r="L749" i="55"/>
  <c r="L741" i="55"/>
  <c r="L733" i="55"/>
  <c r="L725" i="55"/>
  <c r="L717" i="55"/>
  <c r="L709" i="55"/>
  <c r="L701" i="55"/>
  <c r="L693" i="55"/>
  <c r="L685" i="55"/>
  <c r="L677" i="55"/>
  <c r="L669" i="55"/>
  <c r="L661" i="55"/>
  <c r="L653" i="55"/>
  <c r="L645" i="55"/>
  <c r="L637" i="55"/>
  <c r="L629" i="55"/>
  <c r="L621" i="55"/>
  <c r="L613" i="55"/>
  <c r="L807" i="55"/>
  <c r="L799" i="55"/>
  <c r="L791" i="55"/>
  <c r="L783" i="55"/>
  <c r="L775" i="55"/>
  <c r="L767" i="55"/>
  <c r="L759" i="55"/>
  <c r="L751" i="55"/>
  <c r="L743" i="55"/>
  <c r="L735" i="55"/>
  <c r="L727" i="55"/>
  <c r="L719" i="55"/>
  <c r="L711" i="55"/>
  <c r="L703" i="55"/>
  <c r="L695" i="55"/>
  <c r="L687" i="55"/>
  <c r="L679" i="55"/>
  <c r="L671" i="55"/>
  <c r="L663" i="55"/>
  <c r="L655" i="55"/>
  <c r="L647" i="55"/>
  <c r="L639" i="55"/>
  <c r="L631" i="55"/>
  <c r="L623" i="55"/>
  <c r="L615" i="55"/>
  <c r="L806" i="55"/>
  <c r="L802" i="55"/>
  <c r="L798" i="55"/>
  <c r="L794" i="55"/>
  <c r="L790" i="55"/>
  <c r="L786" i="55"/>
  <c r="L782" i="55"/>
  <c r="L778" i="55"/>
  <c r="L774" i="55"/>
  <c r="L770" i="55"/>
  <c r="L766" i="55"/>
  <c r="L762" i="55"/>
  <c r="L758" i="55"/>
  <c r="L754" i="55"/>
  <c r="L750" i="55"/>
  <c r="L746" i="55"/>
  <c r="L742" i="55"/>
  <c r="L738" i="55"/>
  <c r="L734" i="55"/>
  <c r="L730" i="55"/>
  <c r="L726" i="55"/>
  <c r="L722" i="55"/>
  <c r="L718" i="55"/>
  <c r="L714" i="55"/>
  <c r="L710" i="55"/>
  <c r="L706" i="55"/>
  <c r="L702" i="55"/>
  <c r="L698" i="55"/>
  <c r="L694" i="55"/>
  <c r="L690" i="55"/>
  <c r="L686" i="55"/>
  <c r="L682" i="55"/>
  <c r="L678" i="55"/>
  <c r="L674" i="55"/>
  <c r="L670" i="55"/>
  <c r="L666" i="55"/>
  <c r="L662" i="55"/>
  <c r="L658" i="55"/>
  <c r="L654" i="55"/>
  <c r="L650" i="55"/>
  <c r="L646" i="55"/>
  <c r="L642" i="55"/>
  <c r="L638" i="55"/>
  <c r="L634" i="55"/>
  <c r="L630" i="55"/>
  <c r="L626" i="55"/>
  <c r="L622" i="55"/>
  <c r="L618" i="55"/>
  <c r="L614" i="55"/>
  <c r="L610" i="55"/>
  <c r="L801" i="55"/>
  <c r="L793" i="55"/>
  <c r="L785" i="55"/>
  <c r="L777" i="55"/>
  <c r="L769" i="55"/>
  <c r="L761" i="55"/>
  <c r="L753" i="55"/>
  <c r="L745" i="55"/>
  <c r="L737" i="55"/>
  <c r="L729" i="55"/>
  <c r="L721" i="55"/>
  <c r="L713" i="55"/>
  <c r="L705" i="55"/>
  <c r="L697" i="55"/>
  <c r="L689" i="55"/>
  <c r="L681" i="55"/>
  <c r="L673" i="55"/>
  <c r="L665" i="55"/>
  <c r="L657" i="55"/>
  <c r="L649" i="55"/>
  <c r="L641" i="55"/>
  <c r="L633" i="55"/>
  <c r="L625" i="55"/>
  <c r="L617" i="55"/>
  <c r="L609" i="55"/>
  <c r="L803" i="55"/>
  <c r="L795" i="55"/>
  <c r="L787" i="55"/>
  <c r="L779" i="55"/>
  <c r="L771" i="55"/>
  <c r="L763" i="55"/>
  <c r="L755" i="55"/>
  <c r="L747" i="55"/>
  <c r="L739" i="55"/>
  <c r="L731" i="55"/>
  <c r="L723" i="55"/>
  <c r="L715" i="55"/>
  <c r="L707" i="55"/>
  <c r="L699" i="55"/>
  <c r="L691" i="55"/>
  <c r="L683" i="55"/>
  <c r="L675" i="55"/>
  <c r="L667" i="55"/>
  <c r="L659" i="55"/>
  <c r="L651" i="55"/>
  <c r="L643" i="55"/>
  <c r="L635" i="55"/>
  <c r="L627" i="55"/>
  <c r="L619" i="55"/>
  <c r="L611" i="55"/>
  <c r="L804" i="55"/>
  <c r="L800" i="55"/>
  <c r="L796" i="55"/>
  <c r="L792" i="55"/>
  <c r="L788" i="55"/>
  <c r="L784" i="55"/>
  <c r="L780" i="55"/>
  <c r="L776" i="55"/>
  <c r="L772" i="55"/>
  <c r="L768" i="55"/>
  <c r="L764" i="55"/>
  <c r="L760" i="55"/>
  <c r="L756" i="55"/>
  <c r="L752" i="55"/>
  <c r="L748" i="55"/>
  <c r="L744" i="55"/>
  <c r="L740" i="55"/>
  <c r="L736" i="55"/>
  <c r="L732" i="55"/>
  <c r="L728" i="55"/>
  <c r="L724" i="55"/>
  <c r="L720" i="55"/>
  <c r="L716" i="55"/>
  <c r="L712" i="55"/>
  <c r="L708" i="55"/>
  <c r="L704" i="55"/>
  <c r="L700" i="55"/>
  <c r="L696" i="55"/>
  <c r="L692" i="55"/>
  <c r="L688" i="55"/>
  <c r="L684" i="55"/>
  <c r="L680" i="55"/>
  <c r="L676" i="55"/>
  <c r="L672" i="55"/>
  <c r="L668" i="55"/>
  <c r="L664" i="55"/>
  <c r="L660" i="55"/>
  <c r="L656" i="55"/>
  <c r="L652" i="55"/>
  <c r="L648" i="55"/>
  <c r="L644" i="55"/>
  <c r="L640" i="55"/>
  <c r="L636" i="55"/>
  <c r="L632" i="55"/>
  <c r="L628" i="55"/>
  <c r="L624" i="55"/>
  <c r="L620" i="55"/>
  <c r="L616" i="55"/>
  <c r="L612" i="55"/>
  <c r="J15" i="33"/>
  <c r="T32" i="33"/>
  <c r="T28" i="33"/>
  <c r="L24" i="31"/>
  <c r="T30" i="33"/>
  <c r="E30" i="33"/>
  <c r="V22" i="33"/>
  <c r="E22" i="33"/>
  <c r="G30" i="33"/>
  <c r="V26" i="33"/>
  <c r="G24" i="33"/>
  <c r="M22" i="33"/>
  <c r="J20" i="33"/>
  <c r="M20" i="33"/>
  <c r="M16" i="33"/>
  <c r="G16" i="33"/>
  <c r="V15" i="33"/>
  <c r="V30" i="33"/>
  <c r="T16" i="33"/>
  <c r="T12" i="33"/>
  <c r="M24" i="33"/>
  <c r="E14" i="33"/>
  <c r="P12" i="33"/>
  <c r="M12" i="33"/>
  <c r="J24" i="33"/>
  <c r="M25" i="33"/>
  <c r="M18" i="33"/>
  <c r="J35" i="33"/>
  <c r="V20" i="33"/>
  <c r="T24" i="33"/>
  <c r="V25" i="33"/>
  <c r="T25" i="33"/>
  <c r="J25" i="33"/>
  <c r="E21" i="33"/>
  <c r="P24" i="33"/>
  <c r="K24" i="33"/>
  <c r="N24" i="33"/>
  <c r="P49" i="54"/>
  <c r="K18" i="33"/>
  <c r="E32" i="33"/>
  <c r="M23" i="33"/>
  <c r="N12" i="33"/>
  <c r="P51" i="54"/>
  <c r="P28" i="33"/>
  <c r="N16" i="33"/>
  <c r="P68" i="54"/>
  <c r="P61" i="54"/>
  <c r="V12" i="33"/>
  <c r="N28" i="33"/>
  <c r="K28" i="33"/>
  <c r="J12" i="33"/>
  <c r="E17" i="33"/>
  <c r="V23" i="33"/>
  <c r="E13" i="33"/>
  <c r="V18" i="33"/>
  <c r="G18" i="33"/>
  <c r="N32" i="33"/>
  <c r="T23" i="33"/>
  <c r="M15" i="33"/>
  <c r="V34" i="33"/>
  <c r="T26" i="33"/>
  <c r="M28" i="33"/>
  <c r="B30" i="54"/>
  <c r="E12" i="33"/>
  <c r="T18" i="33"/>
  <c r="V14" i="33"/>
  <c r="J23" i="33"/>
  <c r="E34" i="33"/>
  <c r="E20" i="33"/>
  <c r="T34" i="33"/>
  <c r="M14" i="33"/>
  <c r="M26" i="33"/>
  <c r="K20" i="33"/>
  <c r="E28" i="33"/>
  <c r="G34" i="33"/>
  <c r="J26" i="33"/>
  <c r="H23" i="33"/>
  <c r="T14" i="33"/>
  <c r="K16" i="33"/>
  <c r="N18" i="33"/>
  <c r="H18" i="33"/>
  <c r="P18" i="33"/>
  <c r="E26" i="33"/>
  <c r="N23" i="33"/>
  <c r="M11" i="33"/>
  <c r="H57" i="31"/>
  <c r="K19" i="33"/>
  <c r="K15" i="33"/>
  <c r="J28" i="33"/>
  <c r="E11" i="33"/>
  <c r="M17" i="33"/>
  <c r="K12" i="33"/>
  <c r="M34" i="33"/>
  <c r="T27" i="33"/>
  <c r="N30" i="33"/>
  <c r="T20" i="33"/>
  <c r="P27" i="33"/>
  <c r="H20" i="33"/>
  <c r="K30" i="33"/>
  <c r="K27" i="33"/>
  <c r="P30" i="33"/>
  <c r="H30" i="33"/>
  <c r="P20" i="33"/>
  <c r="N20" i="33"/>
  <c r="M33" i="33"/>
  <c r="K35" i="33"/>
  <c r="V35" i="33"/>
  <c r="V21" i="33"/>
  <c r="N27" i="33"/>
  <c r="P32" i="33"/>
  <c r="P16" i="33"/>
  <c r="K32" i="33"/>
  <c r="K23" i="33"/>
  <c r="P17" i="33"/>
  <c r="L57" i="31"/>
  <c r="T35" i="33"/>
  <c r="L13" i="31"/>
  <c r="L46" i="31"/>
  <c r="L35" i="31"/>
  <c r="M27" i="33"/>
  <c r="E35" i="33"/>
  <c r="J33" i="33"/>
  <c r="M19" i="33"/>
  <c r="T31" i="33"/>
  <c r="J17" i="33"/>
  <c r="P14" i="33"/>
  <c r="P23" i="33"/>
  <c r="N35" i="33"/>
  <c r="K14" i="33"/>
  <c r="K31" i="33"/>
  <c r="E31" i="33"/>
  <c r="N31" i="33"/>
  <c r="K11" i="33"/>
  <c r="P11" i="33"/>
  <c r="N11" i="33"/>
  <c r="P31" i="33"/>
  <c r="V19" i="33"/>
  <c r="E23" i="33"/>
  <c r="H14" i="33"/>
  <c r="H15" i="33"/>
  <c r="N19" i="33"/>
  <c r="V31" i="33"/>
  <c r="G33" i="33"/>
  <c r="E29" i="33"/>
  <c r="J31" i="33"/>
  <c r="P35" i="33"/>
  <c r="P19" i="33"/>
  <c r="V11" i="33"/>
  <c r="N14" i="33"/>
  <c r="J19" i="33"/>
  <c r="G19" i="33"/>
  <c r="E27" i="33"/>
  <c r="N15" i="33"/>
  <c r="T21" i="33"/>
  <c r="V33" i="33"/>
  <c r="M31" i="33"/>
  <c r="H35" i="33"/>
  <c r="J11" i="33"/>
  <c r="G11" i="33"/>
  <c r="T11" i="33"/>
  <c r="H46" i="31"/>
  <c r="M35" i="33"/>
  <c r="K13" i="33"/>
  <c r="J30" i="33"/>
  <c r="E44" i="50"/>
  <c r="I36" i="28" s="1"/>
  <c r="J21" i="33"/>
  <c r="E19" i="33"/>
  <c r="T15" i="33"/>
  <c r="T19" i="33"/>
  <c r="E15" i="33"/>
  <c r="G17" i="33"/>
  <c r="H22" i="33"/>
  <c r="E25" i="33"/>
  <c r="P22" i="33"/>
  <c r="P15" i="33"/>
  <c r="E33" i="33"/>
  <c r="V13" i="33"/>
  <c r="J34" i="33"/>
  <c r="N26" i="33"/>
  <c r="K26" i="33"/>
  <c r="T33" i="33"/>
  <c r="H26" i="33"/>
  <c r="T17" i="33"/>
  <c r="J18" i="33"/>
  <c r="K25" i="33"/>
  <c r="J14" i="33"/>
  <c r="P26" i="33"/>
  <c r="D23" i="62"/>
  <c r="N22" i="33"/>
  <c r="I3" i="28"/>
  <c r="F15" i="29" s="1"/>
  <c r="I11" i="36"/>
  <c r="C43" i="50"/>
  <c r="G35" i="28" s="1"/>
  <c r="H33" i="33"/>
  <c r="O21" i="51"/>
  <c r="I26" i="25"/>
  <c r="E18" i="33"/>
  <c r="M21" i="33"/>
  <c r="K22" i="33"/>
  <c r="J22" i="33"/>
  <c r="N96" i="50"/>
  <c r="T13" i="33"/>
  <c r="M13" i="33"/>
  <c r="G13" i="33"/>
  <c r="J13" i="33"/>
  <c r="P59" i="54"/>
  <c r="A24" i="54"/>
  <c r="A25" i="54" s="1"/>
  <c r="A26" i="54" s="1"/>
  <c r="V17" i="33"/>
  <c r="E54" i="50"/>
  <c r="K97" i="50"/>
  <c r="K98" i="50" s="1"/>
  <c r="P96" i="50"/>
  <c r="O96" i="50"/>
  <c r="F29" i="50"/>
  <c r="E43" i="50"/>
  <c r="I35" i="28" s="1"/>
  <c r="E45" i="50"/>
  <c r="I37" i="28" s="1"/>
  <c r="H17" i="33"/>
  <c r="A30" i="54"/>
  <c r="P62" i="54"/>
  <c r="P42" i="54"/>
  <c r="P40" i="54"/>
  <c r="P58" i="54"/>
  <c r="E15" i="29"/>
  <c r="E3" i="29"/>
  <c r="V65" i="28"/>
  <c r="F34" i="28"/>
  <c r="L3" i="36"/>
  <c r="C8" i="49"/>
  <c r="H21" i="33"/>
  <c r="H29" i="33"/>
  <c r="H13" i="33"/>
  <c r="K33" i="33"/>
  <c r="P29" i="33"/>
  <c r="P13" i="33"/>
  <c r="N21" i="33"/>
  <c r="K21" i="33"/>
  <c r="H25" i="33"/>
  <c r="K29" i="33"/>
  <c r="P25" i="33"/>
  <c r="N33" i="33"/>
  <c r="N17" i="33"/>
  <c r="K17" i="33"/>
  <c r="P21" i="33"/>
  <c r="N29" i="33"/>
  <c r="N13" i="33"/>
  <c r="I38" i="33"/>
  <c r="F38" i="33"/>
  <c r="C36" i="33"/>
  <c r="U36" i="33" s="1"/>
  <c r="O38" i="33"/>
  <c r="S6" i="26" s="1"/>
  <c r="S8" i="26" s="1"/>
  <c r="S16" i="26" s="1"/>
  <c r="L38" i="33"/>
  <c r="O6" i="26" s="1"/>
  <c r="C19" i="69" s="1"/>
  <c r="N25" i="33"/>
  <c r="P92" i="50"/>
  <c r="P65" i="50"/>
  <c r="O82" i="50"/>
  <c r="O70" i="50"/>
  <c r="P81" i="50"/>
  <c r="P54" i="50"/>
  <c r="P63" i="50"/>
  <c r="O54" i="50"/>
  <c r="O86" i="50"/>
  <c r="O53" i="50"/>
  <c r="Q53" i="50" s="1"/>
  <c r="M54" i="50" s="1"/>
  <c r="P58" i="50"/>
  <c r="O66" i="50"/>
  <c r="P76" i="50"/>
  <c r="P55" i="50"/>
  <c r="I40" i="26"/>
  <c r="O94" i="50"/>
  <c r="O62" i="50"/>
  <c r="P53" i="50"/>
  <c r="P74" i="50"/>
  <c r="O78" i="50"/>
  <c r="O90" i="50"/>
  <c r="O74" i="50"/>
  <c r="O58" i="50"/>
  <c r="P60" i="50"/>
  <c r="P38" i="54"/>
  <c r="P13" i="54"/>
  <c r="P17" i="54"/>
  <c r="P25" i="54"/>
  <c r="P33" i="54"/>
  <c r="A14" i="54"/>
  <c r="A15" i="54" s="1"/>
  <c r="A16" i="54" s="1"/>
  <c r="O85" i="50"/>
  <c r="O77" i="50"/>
  <c r="O69" i="50"/>
  <c r="O61" i="50"/>
  <c r="O57" i="50"/>
  <c r="O88" i="50"/>
  <c r="O80" i="50"/>
  <c r="O72" i="50"/>
  <c r="O64" i="50"/>
  <c r="O56" i="50"/>
  <c r="P68" i="50"/>
  <c r="P84" i="50"/>
  <c r="P57" i="50"/>
  <c r="P73" i="50"/>
  <c r="P89" i="50"/>
  <c r="P66" i="50"/>
  <c r="P90" i="50"/>
  <c r="P75" i="50"/>
  <c r="P83" i="50"/>
  <c r="B54" i="50"/>
  <c r="F53" i="50"/>
  <c r="H53" i="50" s="1"/>
  <c r="D54" i="50" s="1"/>
  <c r="G53" i="50"/>
  <c r="O93" i="50"/>
  <c r="O89" i="50"/>
  <c r="O81" i="50"/>
  <c r="O73" i="50"/>
  <c r="O65" i="50"/>
  <c r="P64" i="50"/>
  <c r="P80" i="50"/>
  <c r="P69" i="50"/>
  <c r="P85" i="50"/>
  <c r="P62" i="50"/>
  <c r="P82" i="50"/>
  <c r="P59" i="50"/>
  <c r="O92" i="50"/>
  <c r="O84" i="50"/>
  <c r="O76" i="50"/>
  <c r="O68" i="50"/>
  <c r="O60" i="50"/>
  <c r="O95" i="50"/>
  <c r="O91" i="50"/>
  <c r="O87" i="50"/>
  <c r="O83" i="50"/>
  <c r="O79" i="50"/>
  <c r="O75" i="50"/>
  <c r="O71" i="50"/>
  <c r="O67" i="50"/>
  <c r="O63" i="50"/>
  <c r="O59" i="50"/>
  <c r="O55" i="50"/>
  <c r="P72" i="50"/>
  <c r="P88" i="50"/>
  <c r="P61" i="50"/>
  <c r="P77" i="50"/>
  <c r="P93" i="50"/>
  <c r="P70" i="50"/>
  <c r="P91" i="50"/>
  <c r="P56" i="50"/>
  <c r="M27" i="30"/>
  <c r="H22" i="25" s="1"/>
  <c r="D6" i="62"/>
  <c r="D11" i="62" s="1"/>
  <c r="I4" i="36"/>
  <c r="B3" i="36" s="1"/>
  <c r="I5" i="36" s="1"/>
  <c r="C56" i="50"/>
  <c r="E55" i="50"/>
  <c r="N84" i="50"/>
  <c r="P78" i="50"/>
  <c r="P94" i="50"/>
  <c r="P67" i="50"/>
  <c r="P79" i="50"/>
  <c r="P71" i="50"/>
  <c r="P87" i="50"/>
  <c r="P86" i="50"/>
  <c r="P95" i="50"/>
  <c r="L98" i="50"/>
  <c r="N97" i="50"/>
  <c r="E9008" i="55"/>
  <c r="M41" i="26"/>
  <c r="N77" i="50"/>
  <c r="O17" i="51"/>
  <c r="G5" i="51" s="1"/>
  <c r="H5" i="51" s="1"/>
  <c r="K40" i="26"/>
  <c r="J18" i="28"/>
  <c r="I22" i="25"/>
  <c r="N85" i="50"/>
  <c r="N61" i="50"/>
  <c r="N93" i="50"/>
  <c r="N86" i="50"/>
  <c r="N69" i="50"/>
  <c r="N54" i="50"/>
  <c r="N64" i="50"/>
  <c r="N65" i="50"/>
  <c r="N81" i="50"/>
  <c r="N80" i="50"/>
  <c r="N70" i="50"/>
  <c r="N57" i="50"/>
  <c r="N73" i="50"/>
  <c r="N89" i="50"/>
  <c r="N76" i="50"/>
  <c r="N60" i="50"/>
  <c r="N59" i="50"/>
  <c r="N67" i="50"/>
  <c r="N75" i="50"/>
  <c r="N83" i="50"/>
  <c r="N91" i="50"/>
  <c r="N72" i="50"/>
  <c r="N68" i="50"/>
  <c r="N62" i="50"/>
  <c r="N94" i="50"/>
  <c r="N55" i="50"/>
  <c r="N63" i="50"/>
  <c r="N71" i="50"/>
  <c r="N79" i="50"/>
  <c r="N87" i="50"/>
  <c r="N95" i="50"/>
  <c r="N56" i="50"/>
  <c r="N88" i="50"/>
  <c r="N92" i="50"/>
  <c r="N78" i="50"/>
  <c r="N58" i="50"/>
  <c r="N90" i="50"/>
  <c r="N66" i="50"/>
  <c r="N82" i="50"/>
  <c r="N74" i="50"/>
  <c r="I18" i="49" l="1"/>
  <c r="I20" i="49" s="1"/>
  <c r="F20" i="49"/>
  <c r="L68" i="55"/>
  <c r="J32" i="25"/>
  <c r="G21" i="36" s="1"/>
  <c r="A2" i="65" a="1"/>
  <c r="L608" i="55"/>
  <c r="B73" i="36"/>
  <c r="E60" i="62"/>
  <c r="O8" i="26"/>
  <c r="B30" i="36" s="1"/>
  <c r="L808" i="55"/>
  <c r="B31" i="54"/>
  <c r="B31" i="65" s="1" a="1"/>
  <c r="B31" i="65" s="1"/>
  <c r="A2" i="67" s="1" a="1"/>
  <c r="O97" i="50"/>
  <c r="P97" i="50"/>
  <c r="F3" i="29"/>
  <c r="V66" i="28"/>
  <c r="T36" i="33"/>
  <c r="H34" i="37" s="1"/>
  <c r="F1008" i="55"/>
  <c r="K36" i="33"/>
  <c r="F25" i="36" s="1"/>
  <c r="P36" i="33"/>
  <c r="F36" i="28"/>
  <c r="F41" i="28" s="1"/>
  <c r="N28" i="30" s="1"/>
  <c r="H28" i="37" s="1"/>
  <c r="H36" i="33"/>
  <c r="I12" i="36"/>
  <c r="I10" i="36"/>
  <c r="D12" i="62"/>
  <c r="N36" i="33"/>
  <c r="I25" i="36" s="1"/>
  <c r="C10" i="49"/>
  <c r="C19" i="49" s="1"/>
  <c r="P56" i="54"/>
  <c r="P53" i="54"/>
  <c r="A31" i="54"/>
  <c r="F45" i="50"/>
  <c r="J37" i="28" s="1"/>
  <c r="G29" i="50"/>
  <c r="J3" i="28"/>
  <c r="F36" i="33"/>
  <c r="U38" i="33"/>
  <c r="M31" i="56"/>
  <c r="L34" i="37"/>
  <c r="N34" i="30"/>
  <c r="I36" i="33"/>
  <c r="G6" i="25"/>
  <c r="N32" i="25" s="1"/>
  <c r="U31" i="26"/>
  <c r="U36" i="26"/>
  <c r="U27" i="26"/>
  <c r="H30" i="56"/>
  <c r="I33" i="30"/>
  <c r="U18" i="26"/>
  <c r="U19" i="26"/>
  <c r="U33" i="26"/>
  <c r="U26" i="26"/>
  <c r="U24" i="26"/>
  <c r="U28" i="26"/>
  <c r="U29" i="26"/>
  <c r="H33" i="37"/>
  <c r="U34" i="26"/>
  <c r="G6" i="51"/>
  <c r="G7" i="51" s="1"/>
  <c r="U32" i="26"/>
  <c r="U20" i="26"/>
  <c r="O36" i="33"/>
  <c r="F5" i="28"/>
  <c r="Q6" i="26"/>
  <c r="C20" i="69" s="1"/>
  <c r="E71" i="62"/>
  <c r="B28" i="36"/>
  <c r="L36" i="33"/>
  <c r="S15" i="26"/>
  <c r="Q7" i="25"/>
  <c r="Q54" i="50"/>
  <c r="M55" i="50" s="1"/>
  <c r="Q55" i="50" s="1"/>
  <c r="M56" i="50" s="1"/>
  <c r="Q56" i="50" s="1"/>
  <c r="M57" i="50" s="1"/>
  <c r="Q57" i="50" s="1"/>
  <c r="M58" i="50" s="1"/>
  <c r="Q58" i="50" s="1"/>
  <c r="M59" i="50" s="1"/>
  <c r="Q59" i="50" s="1"/>
  <c r="M60" i="50" s="1"/>
  <c r="Q60" i="50" s="1"/>
  <c r="M61" i="50" s="1"/>
  <c r="Q61" i="50" s="1"/>
  <c r="M62" i="50" s="1"/>
  <c r="Q62" i="50" s="1"/>
  <c r="M63" i="50" s="1"/>
  <c r="Q63" i="50" s="1"/>
  <c r="M64" i="50" s="1"/>
  <c r="Q64" i="50" s="1"/>
  <c r="M65" i="50" s="1"/>
  <c r="Q65" i="50" s="1"/>
  <c r="M66" i="50" s="1"/>
  <c r="Q66" i="50" s="1"/>
  <c r="M67" i="50" s="1"/>
  <c r="Q67" i="50" s="1"/>
  <c r="M68" i="50" s="1"/>
  <c r="Q68" i="50" s="1"/>
  <c r="M69" i="50" s="1"/>
  <c r="Q69" i="50" s="1"/>
  <c r="M70" i="50" s="1"/>
  <c r="Q70" i="50" s="1"/>
  <c r="M71" i="50" s="1"/>
  <c r="Q71" i="50" s="1"/>
  <c r="M72" i="50" s="1"/>
  <c r="Q72" i="50" s="1"/>
  <c r="M73" i="50" s="1"/>
  <c r="Q73" i="50" s="1"/>
  <c r="M74" i="50" s="1"/>
  <c r="Q74" i="50" s="1"/>
  <c r="M75" i="50" s="1"/>
  <c r="Q75" i="50" s="1"/>
  <c r="M76" i="50" s="1"/>
  <c r="Q76" i="50" s="1"/>
  <c r="M77" i="50" s="1"/>
  <c r="Q77" i="50" s="1"/>
  <c r="M78" i="50" s="1"/>
  <c r="Q78" i="50" s="1"/>
  <c r="M79" i="50" s="1"/>
  <c r="Q79" i="50" s="1"/>
  <c r="M80" i="50" s="1"/>
  <c r="Q80" i="50" s="1"/>
  <c r="M81" i="50" s="1"/>
  <c r="Q81" i="50" s="1"/>
  <c r="M82" i="50" s="1"/>
  <c r="Q82" i="50" s="1"/>
  <c r="M83" i="50" s="1"/>
  <c r="Q83" i="50" s="1"/>
  <c r="M84" i="50" s="1"/>
  <c r="Q84" i="50" s="1"/>
  <c r="M85" i="50" s="1"/>
  <c r="Q85" i="50" s="1"/>
  <c r="M86" i="50" s="1"/>
  <c r="Q86" i="50" s="1"/>
  <c r="M87" i="50" s="1"/>
  <c r="Q87" i="50" s="1"/>
  <c r="M88" i="50" s="1"/>
  <c r="Q88" i="50" s="1"/>
  <c r="E30" i="25"/>
  <c r="E3" i="69" s="1"/>
  <c r="B55" i="50"/>
  <c r="G54" i="50"/>
  <c r="F54" i="50"/>
  <c r="H54" i="50" s="1"/>
  <c r="D55" i="50" s="1"/>
  <c r="N25" i="30"/>
  <c r="H25" i="37" s="1"/>
  <c r="C57" i="50"/>
  <c r="E56" i="50"/>
  <c r="K1008" i="55"/>
  <c r="K9008" i="55" s="1"/>
  <c r="H1008" i="55"/>
  <c r="D9008" i="55"/>
  <c r="F9008" i="55" s="1"/>
  <c r="O98" i="50"/>
  <c r="L99" i="50"/>
  <c r="N98" i="50"/>
  <c r="P98" i="50"/>
  <c r="K99" i="50"/>
  <c r="K18" i="28"/>
  <c r="D21" i="62"/>
  <c r="N31" i="25" l="1"/>
  <c r="O30" i="26"/>
  <c r="N27" i="25" s="1"/>
  <c r="F19" i="49"/>
  <c r="F18" i="49"/>
  <c r="C20" i="49"/>
  <c r="C27" i="49"/>
  <c r="E33" i="25"/>
  <c r="E6" i="69" s="1"/>
  <c r="J30" i="25"/>
  <c r="J17" i="51" s="1"/>
  <c r="A2" i="65"/>
  <c r="G15" i="65"/>
  <c r="D3" i="65"/>
  <c r="E13" i="65"/>
  <c r="C2" i="65"/>
  <c r="F4" i="65"/>
  <c r="D6" i="65"/>
  <c r="G3" i="65"/>
  <c r="G7" i="65"/>
  <c r="C11" i="65"/>
  <c r="C3" i="65"/>
  <c r="F2" i="65"/>
  <c r="E7" i="65"/>
  <c r="E15" i="65"/>
  <c r="E4" i="65"/>
  <c r="F9" i="65"/>
  <c r="F10" i="65"/>
  <c r="G4" i="65"/>
  <c r="E2" i="65"/>
  <c r="G13" i="65"/>
  <c r="D9" i="65"/>
  <c r="G6" i="65"/>
  <c r="C4" i="65"/>
  <c r="F6" i="65"/>
  <c r="G5" i="65"/>
  <c r="D2" i="65"/>
  <c r="D8" i="65"/>
  <c r="D13" i="65"/>
  <c r="E6" i="65"/>
  <c r="F13" i="65"/>
  <c r="C8" i="65"/>
  <c r="F5" i="65"/>
  <c r="E10" i="65"/>
  <c r="G11" i="65"/>
  <c r="F12" i="65"/>
  <c r="G9" i="65"/>
  <c r="E9" i="65"/>
  <c r="K9" i="65" s="1"/>
  <c r="F8" i="65"/>
  <c r="G8" i="65"/>
  <c r="E8" i="65"/>
  <c r="C15" i="65"/>
  <c r="D7" i="65"/>
  <c r="E14" i="65"/>
  <c r="E12" i="65"/>
  <c r="E11" i="65"/>
  <c r="F11" i="65"/>
  <c r="G10" i="65"/>
  <c r="D10" i="65"/>
  <c r="G14" i="65"/>
  <c r="D14" i="65"/>
  <c r="C12" i="65"/>
  <c r="C7" i="65"/>
  <c r="C6" i="65"/>
  <c r="G2" i="65"/>
  <c r="C9" i="65"/>
  <c r="F3" i="65"/>
  <c r="E5" i="65"/>
  <c r="F7" i="65"/>
  <c r="F15" i="65"/>
  <c r="D12" i="65"/>
  <c r="D11" i="65"/>
  <c r="C5" i="65"/>
  <c r="C13" i="65"/>
  <c r="C10" i="65"/>
  <c r="D15" i="65"/>
  <c r="G12" i="65"/>
  <c r="E3" i="65"/>
  <c r="D4" i="65"/>
  <c r="D5" i="65"/>
  <c r="C14" i="65"/>
  <c r="F14" i="65"/>
  <c r="E6" i="67" a="1"/>
  <c r="E6" i="67" s="1"/>
  <c r="E4" i="67" a="1"/>
  <c r="E4" i="67" s="1"/>
  <c r="E5" i="67" a="1"/>
  <c r="E5" i="67" s="1"/>
  <c r="E3" i="67" a="1"/>
  <c r="E3" i="67" s="1"/>
  <c r="A2" i="67"/>
  <c r="F4" i="67" a="1"/>
  <c r="F4" i="67" s="1"/>
  <c r="F6" i="67" a="1"/>
  <c r="F6" i="67" s="1"/>
  <c r="F5" i="67" a="1"/>
  <c r="F5" i="67" s="1"/>
  <c r="F3" i="67" a="1"/>
  <c r="F3" i="67" s="1"/>
  <c r="O9" i="26"/>
  <c r="F8" i="28" s="1"/>
  <c r="F13" i="28" s="1"/>
  <c r="P13" i="26"/>
  <c r="P12" i="26"/>
  <c r="E73" i="62"/>
  <c r="P11" i="26"/>
  <c r="O7" i="26"/>
  <c r="F6" i="28" s="1"/>
  <c r="F7" i="28" s="1"/>
  <c r="N7" i="25"/>
  <c r="G16" i="25" s="1"/>
  <c r="B10" i="36" s="1"/>
  <c r="H30" i="51"/>
  <c r="J33" i="25"/>
  <c r="J20" i="51" s="1"/>
  <c r="I33" i="25"/>
  <c r="H6" i="69" s="1"/>
  <c r="I32" i="25"/>
  <c r="H5" i="69" s="1"/>
  <c r="I34" i="25"/>
  <c r="H7" i="69" s="1"/>
  <c r="E31" i="25"/>
  <c r="E4" i="69" s="1"/>
  <c r="I31" i="25"/>
  <c r="H4" i="69" s="1"/>
  <c r="J31" i="25"/>
  <c r="G20" i="36" s="1"/>
  <c r="J34" i="25"/>
  <c r="J68" i="62" s="1"/>
  <c r="I30" i="25"/>
  <c r="H3" i="69" s="1"/>
  <c r="E32" i="25"/>
  <c r="E5" i="69" s="1"/>
  <c r="E34" i="25"/>
  <c r="E7" i="69" s="1"/>
  <c r="J19" i="51"/>
  <c r="J66" i="62"/>
  <c r="J40" i="36"/>
  <c r="G110" i="62"/>
  <c r="V24" i="26"/>
  <c r="V19" i="26"/>
  <c r="G9" i="51"/>
  <c r="G8" i="51" s="1"/>
  <c r="V28" i="26"/>
  <c r="V27" i="26"/>
  <c r="G9" i="25"/>
  <c r="D37" i="62" s="1"/>
  <c r="D36" i="62" s="1"/>
  <c r="D34" i="62" s="1"/>
  <c r="V29" i="26"/>
  <c r="V34" i="26"/>
  <c r="V31" i="26"/>
  <c r="D36" i="33"/>
  <c r="I34" i="30"/>
  <c r="V32" i="26"/>
  <c r="V36" i="26"/>
  <c r="V26" i="26"/>
  <c r="V20" i="26"/>
  <c r="H31" i="56"/>
  <c r="C25" i="36"/>
  <c r="V18" i="26"/>
  <c r="V33" i="26"/>
  <c r="E115" i="62"/>
  <c r="G108" i="62"/>
  <c r="J37" i="36"/>
  <c r="E109" i="62"/>
  <c r="D19" i="62"/>
  <c r="H38" i="36"/>
  <c r="J34" i="36" s="1"/>
  <c r="M26" i="30"/>
  <c r="N26" i="30"/>
  <c r="H26" i="37" s="1"/>
  <c r="G69" i="28"/>
  <c r="G70" i="28"/>
  <c r="G66" i="28"/>
  <c r="G68" i="28"/>
  <c r="G64" i="28"/>
  <c r="H74" i="28"/>
  <c r="G73" i="28"/>
  <c r="M28" i="30"/>
  <c r="G72" i="28"/>
  <c r="G67" i="28"/>
  <c r="G5" i="25"/>
  <c r="C6" i="69" s="1"/>
  <c r="G71" i="28"/>
  <c r="G65" i="28"/>
  <c r="E111" i="62"/>
  <c r="E112" i="62"/>
  <c r="G109" i="62"/>
  <c r="E108" i="62"/>
  <c r="H40" i="36"/>
  <c r="H37" i="36"/>
  <c r="J33" i="36" s="1"/>
  <c r="G111" i="62"/>
  <c r="G114" i="62"/>
  <c r="G113" i="62"/>
  <c r="E110" i="62"/>
  <c r="G112" i="62"/>
  <c r="H39" i="36"/>
  <c r="H35" i="36" s="1"/>
  <c r="J39" i="36"/>
  <c r="J38" i="36"/>
  <c r="G115" i="62"/>
  <c r="E114" i="62"/>
  <c r="E113" i="62"/>
  <c r="E59" i="62"/>
  <c r="B72" i="36"/>
  <c r="G3" i="29"/>
  <c r="V67" i="28"/>
  <c r="G15" i="29"/>
  <c r="K3" i="28"/>
  <c r="G43" i="50"/>
  <c r="K35" i="28" s="1"/>
  <c r="G45" i="50"/>
  <c r="K37" i="28" s="1"/>
  <c r="G44" i="50"/>
  <c r="K36" i="28" s="1"/>
  <c r="H29" i="50"/>
  <c r="G42" i="50"/>
  <c r="K34" i="28" s="1"/>
  <c r="Q9" i="25"/>
  <c r="S21" i="26"/>
  <c r="D5" i="29"/>
  <c r="U6" i="26"/>
  <c r="G71" i="62"/>
  <c r="V6" i="26"/>
  <c r="D28" i="36"/>
  <c r="G5" i="28"/>
  <c r="Q7" i="26"/>
  <c r="G7" i="25"/>
  <c r="Q35" i="25"/>
  <c r="K100" i="50"/>
  <c r="B56" i="50"/>
  <c r="F55" i="50"/>
  <c r="H55" i="50" s="1"/>
  <c r="D56" i="50" s="1"/>
  <c r="G55" i="50"/>
  <c r="H30" i="25"/>
  <c r="G3" i="69" s="1"/>
  <c r="A19" i="36"/>
  <c r="D64" i="62"/>
  <c r="E17" i="51"/>
  <c r="C58" i="50"/>
  <c r="E57" i="50"/>
  <c r="L1008" i="55"/>
  <c r="L9008" i="55"/>
  <c r="J9008" i="55"/>
  <c r="H9008" i="55"/>
  <c r="L100" i="50"/>
  <c r="O99" i="50"/>
  <c r="N99" i="50"/>
  <c r="P99" i="50"/>
  <c r="L18" i="28"/>
  <c r="M89" i="50"/>
  <c r="Q89" i="50" s="1"/>
  <c r="M90" i="50" s="1"/>
  <c r="Q90" i="50" s="1"/>
  <c r="M91" i="50" s="1"/>
  <c r="Q91" i="50" s="1"/>
  <c r="M92" i="50" s="1"/>
  <c r="Q92" i="50" s="1"/>
  <c r="M93" i="50" s="1"/>
  <c r="Q93" i="50" s="1"/>
  <c r="M94" i="50" s="1"/>
  <c r="Q94" i="50" s="1"/>
  <c r="M95" i="50" s="1"/>
  <c r="Q95" i="50" s="1"/>
  <c r="M96" i="50" s="1"/>
  <c r="Q96" i="50" s="1"/>
  <c r="M97" i="50" s="1"/>
  <c r="Q97" i="50" s="1"/>
  <c r="M98" i="50" s="1"/>
  <c r="Q98" i="50" s="1"/>
  <c r="M99" i="50" s="1"/>
  <c r="Q30" i="26" l="1"/>
  <c r="P27" i="25" s="1"/>
  <c r="B54" i="36"/>
  <c r="E93" i="62"/>
  <c r="F21" i="28"/>
  <c r="N36" i="51"/>
  <c r="O25" i="26"/>
  <c r="N23" i="25" s="1"/>
  <c r="Q35" i="26"/>
  <c r="P31" i="25" s="1"/>
  <c r="B61" i="36"/>
  <c r="N42" i="51"/>
  <c r="E98" i="62"/>
  <c r="Q37" i="26"/>
  <c r="P32" i="25" s="1"/>
  <c r="N40" i="51"/>
  <c r="B58" i="36"/>
  <c r="E100" i="62"/>
  <c r="F27" i="28"/>
  <c r="H15" i="65"/>
  <c r="J8" i="65"/>
  <c r="H3" i="65"/>
  <c r="J11" i="65"/>
  <c r="L7" i="65"/>
  <c r="I17" i="51"/>
  <c r="E18" i="51"/>
  <c r="D21" i="36"/>
  <c r="F21" i="36" s="1"/>
  <c r="H33" i="25"/>
  <c r="A23" i="36"/>
  <c r="A21" i="36"/>
  <c r="I21" i="36" s="1"/>
  <c r="D20" i="36"/>
  <c r="D23" i="36"/>
  <c r="D22" i="36"/>
  <c r="D3" i="62"/>
  <c r="D4" i="62" s="1"/>
  <c r="A22" i="36"/>
  <c r="D67" i="62"/>
  <c r="F32" i="65"/>
  <c r="H8" i="65"/>
  <c r="H32" i="56"/>
  <c r="C32" i="65"/>
  <c r="F33" i="65"/>
  <c r="E32" i="65"/>
  <c r="D32" i="65"/>
  <c r="G32" i="65"/>
  <c r="G33" i="65"/>
  <c r="D33" i="65"/>
  <c r="G19" i="36"/>
  <c r="I19" i="36" s="1"/>
  <c r="J64" i="62"/>
  <c r="L64" i="62" s="1"/>
  <c r="E33" i="65"/>
  <c r="E20" i="51"/>
  <c r="C33" i="65"/>
  <c r="M8" i="65"/>
  <c r="J3" i="65"/>
  <c r="M3" i="65"/>
  <c r="E34" i="65"/>
  <c r="E31" i="65"/>
  <c r="K2" i="65"/>
  <c r="H10" i="65"/>
  <c r="K10" i="65"/>
  <c r="M10" i="65"/>
  <c r="H4" i="65"/>
  <c r="K5" i="65"/>
  <c r="K6" i="65"/>
  <c r="C34" i="65"/>
  <c r="E35" i="65"/>
  <c r="D34" i="65"/>
  <c r="D31" i="65"/>
  <c r="H11" i="65"/>
  <c r="J15" i="65"/>
  <c r="J5" i="65"/>
  <c r="D35" i="65"/>
  <c r="G34" i="65"/>
  <c r="M7" i="65"/>
  <c r="M15" i="65"/>
  <c r="J7" i="65"/>
  <c r="J4" i="65"/>
  <c r="C35" i="65"/>
  <c r="I11" i="65"/>
  <c r="M11" i="65"/>
  <c r="K14" i="65"/>
  <c r="G35" i="65"/>
  <c r="L10" i="65"/>
  <c r="C31" i="65"/>
  <c r="K11" i="65"/>
  <c r="K7" i="65"/>
  <c r="M14" i="65"/>
  <c r="L14" i="65"/>
  <c r="H7" i="65"/>
  <c r="M9" i="65"/>
  <c r="I2" i="65"/>
  <c r="K8" i="65"/>
  <c r="H2" i="65"/>
  <c r="H6" i="65"/>
  <c r="M5" i="65"/>
  <c r="H9" i="65"/>
  <c r="J14" i="65"/>
  <c r="J2" i="65"/>
  <c r="F35" i="65"/>
  <c r="I12" i="65"/>
  <c r="F34" i="65"/>
  <c r="K3" i="65"/>
  <c r="M4" i="65"/>
  <c r="L12" i="65"/>
  <c r="L3" i="65"/>
  <c r="M6" i="65"/>
  <c r="J12" i="65"/>
  <c r="L9" i="65"/>
  <c r="H5" i="65"/>
  <c r="L8" i="65"/>
  <c r="I4" i="65"/>
  <c r="H12" i="65"/>
  <c r="L13" i="65"/>
  <c r="M13" i="65"/>
  <c r="K13" i="65"/>
  <c r="H14" i="65"/>
  <c r="K15" i="65"/>
  <c r="J6" i="65"/>
  <c r="M2" i="65"/>
  <c r="G31" i="65"/>
  <c r="I9" i="65"/>
  <c r="I7" i="65"/>
  <c r="L4" i="65"/>
  <c r="F31" i="65"/>
  <c r="L2" i="65"/>
  <c r="J13" i="65"/>
  <c r="I8" i="65"/>
  <c r="J10" i="65"/>
  <c r="M12" i="65"/>
  <c r="L15" i="65"/>
  <c r="I10" i="65"/>
  <c r="L5" i="65"/>
  <c r="I6" i="65"/>
  <c r="L6" i="65"/>
  <c r="L11" i="65"/>
  <c r="I15" i="65"/>
  <c r="I5" i="65"/>
  <c r="I3" i="65"/>
  <c r="K4" i="65"/>
  <c r="I14" i="65"/>
  <c r="I13" i="65"/>
  <c r="H13" i="65"/>
  <c r="J9" i="65"/>
  <c r="K12" i="65"/>
  <c r="O14" i="26"/>
  <c r="C23" i="69" s="1"/>
  <c r="E2" i="67" a="1"/>
  <c r="E2" i="67" s="1"/>
  <c r="F2" i="67" a="1"/>
  <c r="F2" i="67" s="1"/>
  <c r="P7" i="26"/>
  <c r="F72" i="62" s="1"/>
  <c r="E72" i="62"/>
  <c r="B29" i="36"/>
  <c r="C64" i="36" s="1"/>
  <c r="D46" i="62"/>
  <c r="G22" i="36"/>
  <c r="J67" i="62"/>
  <c r="H32" i="25"/>
  <c r="G5" i="69" s="1"/>
  <c r="H31" i="25"/>
  <c r="G4" i="69" s="1"/>
  <c r="D65" i="62"/>
  <c r="J18" i="51"/>
  <c r="A20" i="36"/>
  <c r="I20" i="36" s="1"/>
  <c r="E19" i="51"/>
  <c r="D66" i="62"/>
  <c r="L66" i="62" s="1"/>
  <c r="G65" i="62"/>
  <c r="G68" i="62"/>
  <c r="I20" i="51"/>
  <c r="G67" i="62"/>
  <c r="G23" i="36"/>
  <c r="G66" i="62"/>
  <c r="I19" i="51"/>
  <c r="J65" i="62"/>
  <c r="I18" i="51"/>
  <c r="D19" i="36"/>
  <c r="F19" i="36" s="1"/>
  <c r="G64" i="62"/>
  <c r="I64" i="62" s="1"/>
  <c r="H34" i="25"/>
  <c r="G7" i="69" s="1"/>
  <c r="D68" i="62"/>
  <c r="L68" i="62" s="1"/>
  <c r="Q99" i="50"/>
  <c r="M100" i="50" s="1"/>
  <c r="M36" i="33"/>
  <c r="I40" i="36"/>
  <c r="F110" i="62"/>
  <c r="F113" i="62"/>
  <c r="I35" i="30"/>
  <c r="J36" i="33"/>
  <c r="H35" i="37"/>
  <c r="V36" i="33"/>
  <c r="G36" i="33"/>
  <c r="G8" i="25"/>
  <c r="V13" i="1" s="1"/>
  <c r="Q36" i="25"/>
  <c r="I38" i="36"/>
  <c r="J36" i="36"/>
  <c r="H34" i="36"/>
  <c r="I34" i="36" s="1"/>
  <c r="F108" i="62"/>
  <c r="H33" i="36"/>
  <c r="F111" i="62"/>
  <c r="F115" i="62"/>
  <c r="H36" i="36"/>
  <c r="F109" i="62"/>
  <c r="I39" i="36"/>
  <c r="I37" i="36"/>
  <c r="I33" i="36" s="1"/>
  <c r="F114" i="62"/>
  <c r="J35" i="36"/>
  <c r="I35" i="36" s="1"/>
  <c r="B2" i="36"/>
  <c r="H5" i="25"/>
  <c r="F112" i="62"/>
  <c r="K101" i="50"/>
  <c r="H43" i="50"/>
  <c r="L35" i="28" s="1"/>
  <c r="H42" i="50"/>
  <c r="L34" i="28" s="1"/>
  <c r="H45" i="50"/>
  <c r="L37" i="28" s="1"/>
  <c r="L3" i="28"/>
  <c r="H44" i="50"/>
  <c r="L36" i="28" s="1"/>
  <c r="I29" i="50"/>
  <c r="H15" i="29"/>
  <c r="V68" i="28"/>
  <c r="H3" i="29"/>
  <c r="H5" i="28"/>
  <c r="W24" i="1"/>
  <c r="W13" i="1"/>
  <c r="S41" i="26"/>
  <c r="Q11" i="25"/>
  <c r="Q13" i="25" s="1"/>
  <c r="S40" i="26"/>
  <c r="D29" i="36"/>
  <c r="V7" i="26"/>
  <c r="G72" i="62"/>
  <c r="G6" i="28"/>
  <c r="G7" i="28" s="1"/>
  <c r="Q8" i="26"/>
  <c r="U7" i="26"/>
  <c r="F14" i="28"/>
  <c r="F19" i="28" s="1"/>
  <c r="G17" i="51"/>
  <c r="H17" i="51"/>
  <c r="C19" i="36"/>
  <c r="F64" i="62"/>
  <c r="B57" i="50"/>
  <c r="G56" i="50"/>
  <c r="F56" i="50"/>
  <c r="H56" i="50" s="1"/>
  <c r="D57" i="50" s="1"/>
  <c r="C59" i="50"/>
  <c r="E58" i="50"/>
  <c r="L101" i="50"/>
  <c r="O100" i="50"/>
  <c r="N100" i="50"/>
  <c r="P100" i="50"/>
  <c r="M18" i="28"/>
  <c r="N27" i="28" l="1"/>
  <c r="C58" i="36"/>
  <c r="K27" i="28"/>
  <c r="O27" i="28"/>
  <c r="J27" i="28"/>
  <c r="L27" i="28"/>
  <c r="P27" i="28"/>
  <c r="O40" i="51"/>
  <c r="F100" i="62"/>
  <c r="M27" i="28"/>
  <c r="I27" i="28"/>
  <c r="G27" i="28"/>
  <c r="H27" i="28"/>
  <c r="U37" i="26"/>
  <c r="V37" i="26"/>
  <c r="Q25" i="26"/>
  <c r="P23" i="25" s="1"/>
  <c r="F23" i="28"/>
  <c r="N31" i="51"/>
  <c r="E88" i="62"/>
  <c r="B49" i="36"/>
  <c r="F98" i="62"/>
  <c r="O42" i="51"/>
  <c r="C61" i="36"/>
  <c r="U35" i="26"/>
  <c r="V35" i="26"/>
  <c r="C54" i="36"/>
  <c r="E51" i="36" s="1"/>
  <c r="O36" i="51"/>
  <c r="F93" i="62"/>
  <c r="G21" i="28"/>
  <c r="H21" i="28" s="1"/>
  <c r="I21" i="28" s="1"/>
  <c r="J21" i="28" s="1"/>
  <c r="K21" i="28" s="1"/>
  <c r="L21" i="28" s="1"/>
  <c r="M21" i="28" s="1"/>
  <c r="N21" i="28" s="1"/>
  <c r="O21" i="28" s="1"/>
  <c r="P21" i="28" s="1"/>
  <c r="U30" i="26"/>
  <c r="V30" i="26"/>
  <c r="F23" i="36"/>
  <c r="I23" i="36"/>
  <c r="I22" i="36"/>
  <c r="F22" i="36"/>
  <c r="G20" i="51"/>
  <c r="G6" i="69"/>
  <c r="C22" i="36"/>
  <c r="E22" i="36" s="1"/>
  <c r="H20" i="51"/>
  <c r="C21" i="36"/>
  <c r="H21" i="36" s="1"/>
  <c r="F68" i="62"/>
  <c r="K68" i="62" s="1"/>
  <c r="F65" i="62"/>
  <c r="K65" i="62" s="1"/>
  <c r="P14" i="26"/>
  <c r="F74" i="62" s="1"/>
  <c r="F67" i="62"/>
  <c r="H67" i="62" s="1"/>
  <c r="L67" i="62"/>
  <c r="L32" i="65"/>
  <c r="J32" i="65"/>
  <c r="I32" i="65"/>
  <c r="M33" i="65"/>
  <c r="H4" i="67" s="1" a="1"/>
  <c r="H4" i="67" s="1"/>
  <c r="D4" i="67" s="1"/>
  <c r="L33" i="65"/>
  <c r="H32" i="65"/>
  <c r="K32" i="65"/>
  <c r="M32" i="65"/>
  <c r="H3" i="67" s="1" a="1"/>
  <c r="H3" i="67" s="1"/>
  <c r="D3" i="67" s="1"/>
  <c r="I33" i="65"/>
  <c r="J33" i="65"/>
  <c r="G4" i="67" s="1" a="1"/>
  <c r="G4" i="67" s="1"/>
  <c r="C4" i="67" s="1"/>
  <c r="K34" i="65"/>
  <c r="H34" i="65"/>
  <c r="H33" i="65"/>
  <c r="K33" i="65"/>
  <c r="J34" i="65"/>
  <c r="H31" i="65"/>
  <c r="K31" i="65"/>
  <c r="M34" i="65"/>
  <c r="H5" i="67" s="1" a="1"/>
  <c r="H5" i="67" s="1"/>
  <c r="D5" i="67" s="1"/>
  <c r="H35" i="65"/>
  <c r="L34" i="65"/>
  <c r="K35" i="65"/>
  <c r="L35" i="65"/>
  <c r="B2" i="67" a="1"/>
  <c r="B2" i="67" s="1"/>
  <c r="J35" i="65"/>
  <c r="G6" i="67" s="1" a="1"/>
  <c r="G6" i="67" s="1"/>
  <c r="C6" i="67" s="1"/>
  <c r="M35" i="65"/>
  <c r="H6" i="67" s="1" a="1"/>
  <c r="H6" i="67" s="1"/>
  <c r="D6" i="67" s="1"/>
  <c r="I31" i="65"/>
  <c r="J31" i="65"/>
  <c r="G2" i="67" s="1" a="1"/>
  <c r="G2" i="67" s="1"/>
  <c r="C2" i="67" s="1"/>
  <c r="I35" i="65"/>
  <c r="I34" i="65"/>
  <c r="M31" i="65"/>
  <c r="H2" i="67" s="1" a="1"/>
  <c r="H2" i="67" s="1"/>
  <c r="D2" i="67" s="1"/>
  <c r="L31" i="65"/>
  <c r="H31" i="51"/>
  <c r="G31" i="51" s="1"/>
  <c r="E74" i="62"/>
  <c r="G3" i="67" a="1"/>
  <c r="G3" i="67" s="1"/>
  <c r="C3" i="67" s="1"/>
  <c r="N8" i="25"/>
  <c r="M8" i="25" s="1"/>
  <c r="B31" i="36"/>
  <c r="O16" i="26"/>
  <c r="N9" i="25" s="1"/>
  <c r="G5" i="67" a="1"/>
  <c r="G5" i="67" s="1"/>
  <c r="C5" i="67" s="1"/>
  <c r="B64" i="36"/>
  <c r="D2" i="36"/>
  <c r="I66" i="62"/>
  <c r="H19" i="51"/>
  <c r="G19" i="51"/>
  <c r="F66" i="62"/>
  <c r="K66" i="62" s="1"/>
  <c r="G18" i="51"/>
  <c r="C20" i="36"/>
  <c r="H20" i="36" s="1"/>
  <c r="H18" i="51"/>
  <c r="L65" i="62"/>
  <c r="I65" i="62"/>
  <c r="F20" i="36"/>
  <c r="I67" i="62"/>
  <c r="I68" i="62"/>
  <c r="C23" i="36"/>
  <c r="H23" i="36" s="1"/>
  <c r="V24" i="1"/>
  <c r="I36" i="36"/>
  <c r="Q100" i="50"/>
  <c r="M101" i="50" s="1"/>
  <c r="I15" i="29"/>
  <c r="I3" i="29"/>
  <c r="V69" i="28"/>
  <c r="I45" i="50"/>
  <c r="M37" i="28" s="1"/>
  <c r="I42" i="50"/>
  <c r="M34" i="28" s="1"/>
  <c r="J29" i="50"/>
  <c r="M3" i="28"/>
  <c r="I44" i="50"/>
  <c r="M36" i="28" s="1"/>
  <c r="I43" i="50"/>
  <c r="M35" i="28" s="1"/>
  <c r="Q11" i="26"/>
  <c r="Q13" i="26"/>
  <c r="Q9" i="26"/>
  <c r="G73" i="62"/>
  <c r="D30" i="36"/>
  <c r="P7" i="25"/>
  <c r="H16" i="25" s="1"/>
  <c r="Q12" i="26"/>
  <c r="J30" i="51"/>
  <c r="U8" i="26"/>
  <c r="V8" i="26"/>
  <c r="B65" i="36"/>
  <c r="C65" i="36"/>
  <c r="D3" i="36"/>
  <c r="Q14" i="25"/>
  <c r="I5" i="28"/>
  <c r="H6" i="28"/>
  <c r="H7" i="28" s="1"/>
  <c r="H19" i="36"/>
  <c r="E19" i="36"/>
  <c r="K64" i="62"/>
  <c r="H64" i="62"/>
  <c r="B58" i="50"/>
  <c r="F57" i="50"/>
  <c r="H57" i="50" s="1"/>
  <c r="D58" i="50" s="1"/>
  <c r="G57" i="50"/>
  <c r="C60" i="50"/>
  <c r="E59" i="50"/>
  <c r="L102" i="50"/>
  <c r="O101" i="50"/>
  <c r="N101" i="50"/>
  <c r="P101" i="50"/>
  <c r="K102" i="50"/>
  <c r="N18" i="28"/>
  <c r="H65" i="62" l="1"/>
  <c r="O31" i="51"/>
  <c r="F88" i="62"/>
  <c r="C49" i="36"/>
  <c r="G23" i="28"/>
  <c r="H23" i="28" s="1"/>
  <c r="I23" i="28" s="1"/>
  <c r="J23" i="28" s="1"/>
  <c r="K23" i="28" s="1"/>
  <c r="L23" i="28" s="1"/>
  <c r="M23" i="28" s="1"/>
  <c r="N23" i="28" s="1"/>
  <c r="O23" i="28" s="1"/>
  <c r="P23" i="28" s="1"/>
  <c r="U25" i="26"/>
  <c r="V25" i="26"/>
  <c r="H68" i="62"/>
  <c r="L69" i="62"/>
  <c r="H22" i="36"/>
  <c r="C31" i="36"/>
  <c r="K67" i="62"/>
  <c r="O15" i="26"/>
  <c r="E21" i="36"/>
  <c r="H32" i="51"/>
  <c r="O21" i="26"/>
  <c r="H34" i="51" s="1"/>
  <c r="B32" i="36"/>
  <c r="E75" i="62"/>
  <c r="E20" i="36"/>
  <c r="H66" i="62"/>
  <c r="I69" i="62"/>
  <c r="E23" i="36"/>
  <c r="Q101" i="50"/>
  <c r="M102" i="50" s="1"/>
  <c r="J3" i="29"/>
  <c r="V70" i="28"/>
  <c r="J15" i="29"/>
  <c r="K29" i="50"/>
  <c r="N3" i="28"/>
  <c r="J44" i="50"/>
  <c r="N36" i="28" s="1"/>
  <c r="J43" i="50"/>
  <c r="N35" i="28" s="1"/>
  <c r="J42" i="50"/>
  <c r="N34" i="28" s="1"/>
  <c r="J45" i="50"/>
  <c r="N37" i="28" s="1"/>
  <c r="U12" i="26"/>
  <c r="G11" i="28"/>
  <c r="V12" i="26"/>
  <c r="V9" i="26"/>
  <c r="U9" i="26"/>
  <c r="G8" i="28"/>
  <c r="G12" i="28"/>
  <c r="U13" i="26"/>
  <c r="V13" i="26"/>
  <c r="H8" i="28"/>
  <c r="H12" i="28"/>
  <c r="H10" i="28"/>
  <c r="H11" i="28"/>
  <c r="B11" i="36"/>
  <c r="D47" i="62"/>
  <c r="X13" i="1"/>
  <c r="X24" i="1"/>
  <c r="I6" i="28"/>
  <c r="I7" i="28" s="1"/>
  <c r="J5" i="28"/>
  <c r="Q14" i="26"/>
  <c r="C24" i="69" s="1"/>
  <c r="G10" i="28"/>
  <c r="V11" i="26"/>
  <c r="U11" i="26"/>
  <c r="K103" i="50"/>
  <c r="B59" i="50"/>
  <c r="G58" i="50"/>
  <c r="F58" i="50"/>
  <c r="H58" i="50" s="1"/>
  <c r="D59" i="50" s="1"/>
  <c r="C61" i="50"/>
  <c r="E60" i="50"/>
  <c r="O102" i="50"/>
  <c r="L103" i="50"/>
  <c r="N102" i="50"/>
  <c r="P102" i="50"/>
  <c r="O18" i="28"/>
  <c r="N11" i="25" l="1"/>
  <c r="O38" i="26"/>
  <c r="N33" i="25" s="1"/>
  <c r="N34" i="25" s="1"/>
  <c r="B34" i="36"/>
  <c r="E77" i="62"/>
  <c r="Q102" i="50"/>
  <c r="M103" i="50" s="1"/>
  <c r="K15" i="29"/>
  <c r="V71" i="28"/>
  <c r="K3" i="29"/>
  <c r="O3" i="28"/>
  <c r="K45" i="50"/>
  <c r="O37" i="28" s="1"/>
  <c r="L29" i="50"/>
  <c r="K42" i="50"/>
  <c r="O34" i="28" s="1"/>
  <c r="K44" i="50"/>
  <c r="O36" i="28" s="1"/>
  <c r="K5" i="28"/>
  <c r="J6" i="28"/>
  <c r="J7" i="28" s="1"/>
  <c r="I8" i="28"/>
  <c r="I12" i="28"/>
  <c r="I11" i="28"/>
  <c r="I10" i="28"/>
  <c r="V14" i="26"/>
  <c r="U14" i="26"/>
  <c r="P8" i="25"/>
  <c r="O8" i="25" s="1"/>
  <c r="J31" i="51"/>
  <c r="I31" i="51" s="1"/>
  <c r="Q16" i="26"/>
  <c r="D31" i="36"/>
  <c r="G74" i="62"/>
  <c r="R14" i="26"/>
  <c r="H13" i="28"/>
  <c r="H14" i="28" s="1"/>
  <c r="H19" i="28" s="1"/>
  <c r="H25" i="28" s="1"/>
  <c r="H26" i="28" s="1"/>
  <c r="H28" i="28" s="1"/>
  <c r="G13" i="28"/>
  <c r="G14" i="28" s="1"/>
  <c r="G19" i="28" s="1"/>
  <c r="F59" i="50"/>
  <c r="H59" i="50" s="1"/>
  <c r="D60" i="50" s="1"/>
  <c r="G59" i="50"/>
  <c r="B60" i="50"/>
  <c r="C62" i="50"/>
  <c r="E61" i="50"/>
  <c r="L104" i="50"/>
  <c r="O103" i="50"/>
  <c r="N103" i="50"/>
  <c r="P103" i="50"/>
  <c r="K104" i="50"/>
  <c r="P18" i="28"/>
  <c r="O39" i="26" l="1"/>
  <c r="C9" i="69" s="1"/>
  <c r="N36" i="25"/>
  <c r="F25" i="28"/>
  <c r="F26" i="28" s="1"/>
  <c r="F28" i="28" s="1"/>
  <c r="B59" i="36"/>
  <c r="E101" i="62"/>
  <c r="N44" i="51"/>
  <c r="N45" i="51" s="1"/>
  <c r="N47" i="51" s="1"/>
  <c r="Q103" i="50"/>
  <c r="M104" i="50" s="1"/>
  <c r="V72" i="28"/>
  <c r="L3" i="29"/>
  <c r="L15" i="29"/>
  <c r="L42" i="50"/>
  <c r="P34" i="28" s="1"/>
  <c r="P3" i="28"/>
  <c r="L45" i="50"/>
  <c r="P37" i="28" s="1"/>
  <c r="L44" i="50"/>
  <c r="P36" i="28" s="1"/>
  <c r="L5" i="28"/>
  <c r="K6" i="28"/>
  <c r="K7" i="28" s="1"/>
  <c r="V16" i="26"/>
  <c r="G75" i="62"/>
  <c r="P9" i="25"/>
  <c r="U16" i="26"/>
  <c r="J32" i="51"/>
  <c r="Q21" i="26"/>
  <c r="D32" i="36"/>
  <c r="H46" i="28"/>
  <c r="U64" i="28"/>
  <c r="H32" i="28"/>
  <c r="E31" i="36"/>
  <c r="Q15" i="26"/>
  <c r="H74" i="62"/>
  <c r="I13" i="28"/>
  <c r="I14" i="28" s="1"/>
  <c r="I19" i="28" s="1"/>
  <c r="I25" i="28" s="1"/>
  <c r="I26" i="28" s="1"/>
  <c r="I28" i="28" s="1"/>
  <c r="J11" i="28"/>
  <c r="J12" i="28"/>
  <c r="J8" i="28"/>
  <c r="J10" i="28"/>
  <c r="B61" i="50"/>
  <c r="F60" i="50"/>
  <c r="H60" i="50" s="1"/>
  <c r="D61" i="50" s="1"/>
  <c r="G60" i="50"/>
  <c r="K105" i="50"/>
  <c r="C63" i="50"/>
  <c r="E62" i="50"/>
  <c r="L105" i="50"/>
  <c r="O104" i="50"/>
  <c r="N104" i="50"/>
  <c r="P104" i="50"/>
  <c r="E78" i="62" l="1"/>
  <c r="H35" i="51"/>
  <c r="H36" i="51" s="1"/>
  <c r="H37" i="51" s="1"/>
  <c r="B35" i="36"/>
  <c r="E102" i="62"/>
  <c r="E103" i="62" s="1"/>
  <c r="O41" i="26"/>
  <c r="E79" i="62" s="1"/>
  <c r="N12" i="25"/>
  <c r="M12" i="25" s="1"/>
  <c r="O40" i="26"/>
  <c r="C35" i="36" s="1"/>
  <c r="N35" i="25"/>
  <c r="N46" i="51"/>
  <c r="Q104" i="50"/>
  <c r="M105" i="50" s="1"/>
  <c r="H21" i="56"/>
  <c r="V73" i="28"/>
  <c r="V74" i="28" s="1"/>
  <c r="M3" i="29"/>
  <c r="I21" i="30"/>
  <c r="M15" i="29"/>
  <c r="I32" i="28"/>
  <c r="U65" i="28"/>
  <c r="I46" i="28"/>
  <c r="J13" i="28"/>
  <c r="J14" i="28" s="1"/>
  <c r="J19" i="28" s="1"/>
  <c r="J25" i="28" s="1"/>
  <c r="J26" i="28" s="1"/>
  <c r="J28" i="28" s="1"/>
  <c r="I58" i="28"/>
  <c r="I59" i="28"/>
  <c r="I55" i="28"/>
  <c r="I56" i="28"/>
  <c r="I53" i="28"/>
  <c r="I57" i="28"/>
  <c r="I60" i="28"/>
  <c r="I54" i="28"/>
  <c r="I61" i="28"/>
  <c r="Q38" i="26"/>
  <c r="P33" i="25" s="1"/>
  <c r="P34" i="25" s="1"/>
  <c r="V21" i="26"/>
  <c r="J34" i="51"/>
  <c r="P11" i="25"/>
  <c r="D34" i="36"/>
  <c r="G77" i="62"/>
  <c r="U21" i="26"/>
  <c r="K8" i="28"/>
  <c r="K10" i="28"/>
  <c r="K11" i="28"/>
  <c r="K12" i="28"/>
  <c r="T51" i="28"/>
  <c r="S51" i="28" s="1"/>
  <c r="S64" i="28"/>
  <c r="L6" i="28"/>
  <c r="L7" i="28" s="1"/>
  <c r="M5" i="28"/>
  <c r="B62" i="50"/>
  <c r="F61" i="50"/>
  <c r="H61" i="50" s="1"/>
  <c r="D62" i="50" s="1"/>
  <c r="G61" i="50"/>
  <c r="C64" i="50"/>
  <c r="E63" i="50"/>
  <c r="L106" i="50"/>
  <c r="O105" i="50"/>
  <c r="N105" i="50"/>
  <c r="P105" i="50"/>
  <c r="K106" i="50"/>
  <c r="E104" i="62" l="1"/>
  <c r="E105" i="62"/>
  <c r="I24" i="49"/>
  <c r="I26" i="49" s="1"/>
  <c r="I27" i="49" s="1"/>
  <c r="F24" i="49"/>
  <c r="B36" i="36"/>
  <c r="G35" i="51"/>
  <c r="N13" i="25"/>
  <c r="C7" i="69" s="1"/>
  <c r="F78" i="62"/>
  <c r="R8" i="48"/>
  <c r="Q105" i="50"/>
  <c r="M106" i="50" s="1"/>
  <c r="G25" i="28"/>
  <c r="G26" i="28" s="1"/>
  <c r="G28" i="28" s="1"/>
  <c r="F101" i="62"/>
  <c r="U38" i="26"/>
  <c r="V38" i="26"/>
  <c r="C59" i="36"/>
  <c r="B63" i="36" s="1"/>
  <c r="O44" i="51"/>
  <c r="O45" i="51" s="1"/>
  <c r="Q39" i="26"/>
  <c r="C10" i="69" s="1"/>
  <c r="N5" i="28"/>
  <c r="M6" i="28"/>
  <c r="M7" i="28" s="1"/>
  <c r="J54" i="28"/>
  <c r="J56" i="28"/>
  <c r="J61" i="28"/>
  <c r="J59" i="28"/>
  <c r="J58" i="28"/>
  <c r="J57" i="28"/>
  <c r="J60" i="28"/>
  <c r="J55" i="28"/>
  <c r="L11" i="28"/>
  <c r="L12" i="28"/>
  <c r="L8" i="28"/>
  <c r="L10" i="28"/>
  <c r="J32" i="28"/>
  <c r="U66" i="28"/>
  <c r="J46" i="28"/>
  <c r="K13" i="28"/>
  <c r="K14" i="28" s="1"/>
  <c r="K19" i="28" s="1"/>
  <c r="K25" i="28" s="1"/>
  <c r="K26" i="28" s="1"/>
  <c r="K28" i="28" s="1"/>
  <c r="G9" i="37"/>
  <c r="G13" i="37"/>
  <c r="G10" i="30"/>
  <c r="S65" i="28"/>
  <c r="T52" i="28"/>
  <c r="S52" i="28" s="1"/>
  <c r="Q52" i="28" s="1"/>
  <c r="I52" i="28" s="1"/>
  <c r="F62" i="50"/>
  <c r="H62" i="50" s="1"/>
  <c r="D63" i="50" s="1"/>
  <c r="B63" i="50"/>
  <c r="G62" i="50"/>
  <c r="K107" i="50"/>
  <c r="C65" i="50"/>
  <c r="E64" i="50"/>
  <c r="O106" i="50"/>
  <c r="L107" i="50"/>
  <c r="N106" i="50"/>
  <c r="P106" i="50"/>
  <c r="G14" i="30" l="1"/>
  <c r="G11" i="37"/>
  <c r="G12" i="56"/>
  <c r="G8" i="56"/>
  <c r="G15" i="56"/>
  <c r="G15" i="30"/>
  <c r="G8" i="30"/>
  <c r="G13" i="30"/>
  <c r="G16" i="30"/>
  <c r="G7" i="30"/>
  <c r="G7" i="56"/>
  <c r="G16" i="56"/>
  <c r="F26" i="49"/>
  <c r="F27" i="49" s="1"/>
  <c r="P11" i="48" s="1"/>
  <c r="F17" i="49"/>
  <c r="G11" i="30"/>
  <c r="G10" i="56"/>
  <c r="G16" i="37"/>
  <c r="G6" i="30"/>
  <c r="G12" i="30"/>
  <c r="N14" i="25"/>
  <c r="B37" i="36" s="1"/>
  <c r="G6" i="56"/>
  <c r="G12" i="37"/>
  <c r="G15" i="25"/>
  <c r="C2" i="69" s="1"/>
  <c r="G8" i="37"/>
  <c r="G13" i="56"/>
  <c r="G14" i="56"/>
  <c r="G9" i="30"/>
  <c r="G10" i="37"/>
  <c r="G15" i="37"/>
  <c r="D48" i="62"/>
  <c r="D49" i="62" s="1"/>
  <c r="G14" i="37"/>
  <c r="G6" i="37"/>
  <c r="G11" i="56"/>
  <c r="G7" i="37"/>
  <c r="G9" i="56"/>
  <c r="Q106" i="50"/>
  <c r="M107" i="50" s="1"/>
  <c r="L13" i="28"/>
  <c r="L14" i="28" s="1"/>
  <c r="L19" i="28" s="1"/>
  <c r="L25" i="28" s="1"/>
  <c r="L26" i="28" s="1"/>
  <c r="L28" i="28" s="1"/>
  <c r="U68" i="28" s="1"/>
  <c r="S68" i="28" s="1"/>
  <c r="S66" i="28"/>
  <c r="T53" i="28"/>
  <c r="S53" i="28" s="1"/>
  <c r="Q53" i="28" s="1"/>
  <c r="J53" i="28" s="1"/>
  <c r="P36" i="25"/>
  <c r="P35" i="25"/>
  <c r="K60" i="28"/>
  <c r="K57" i="28"/>
  <c r="K61" i="28"/>
  <c r="K59" i="28"/>
  <c r="K58" i="28"/>
  <c r="K56" i="28"/>
  <c r="K55" i="28"/>
  <c r="G78" i="62"/>
  <c r="D35" i="36"/>
  <c r="P12" i="25"/>
  <c r="Q41" i="26"/>
  <c r="Q40" i="26"/>
  <c r="U39" i="26"/>
  <c r="F102" i="62"/>
  <c r="J35" i="51"/>
  <c r="V39" i="26"/>
  <c r="U67" i="28"/>
  <c r="K46" i="28"/>
  <c r="K32" i="28"/>
  <c r="M10" i="28"/>
  <c r="M12" i="28"/>
  <c r="M8" i="28"/>
  <c r="M11" i="28"/>
  <c r="O47" i="51"/>
  <c r="O46" i="51"/>
  <c r="O5" i="28"/>
  <c r="N6" i="28"/>
  <c r="N7" i="28" s="1"/>
  <c r="G32" i="28"/>
  <c r="G46" i="28"/>
  <c r="B64" i="50"/>
  <c r="F63" i="50"/>
  <c r="H63" i="50" s="1"/>
  <c r="D64" i="50" s="1"/>
  <c r="G63" i="50"/>
  <c r="C66" i="50"/>
  <c r="E65" i="50"/>
  <c r="L108" i="50"/>
  <c r="O107" i="50"/>
  <c r="N107" i="50"/>
  <c r="P107" i="50"/>
  <c r="K108" i="50"/>
  <c r="E80" i="62" l="1"/>
  <c r="D44" i="62"/>
  <c r="B8" i="36"/>
  <c r="P8" i="48"/>
  <c r="T55" i="28"/>
  <c r="S55" i="28" s="1"/>
  <c r="Q107" i="50"/>
  <c r="M108" i="50" s="1"/>
  <c r="L32" i="28"/>
  <c r="M61" i="28" s="1"/>
  <c r="L46" i="28"/>
  <c r="O6" i="28"/>
  <c r="O7" i="28" s="1"/>
  <c r="P5" i="28"/>
  <c r="P6" i="28" s="1"/>
  <c r="P7" i="28" s="1"/>
  <c r="M13" i="28"/>
  <c r="M14" i="28" s="1"/>
  <c r="M19" i="28" s="1"/>
  <c r="M25" i="28" s="1"/>
  <c r="M26" i="28" s="1"/>
  <c r="M28" i="28" s="1"/>
  <c r="F104" i="62"/>
  <c r="F103" i="62"/>
  <c r="O12" i="25"/>
  <c r="P13" i="25"/>
  <c r="C8" i="69" s="1"/>
  <c r="T54" i="28"/>
  <c r="S54" i="28" s="1"/>
  <c r="Q54" i="28" s="1"/>
  <c r="K54" i="28" s="1"/>
  <c r="S67" i="28"/>
  <c r="J37" i="51"/>
  <c r="Q51" i="28"/>
  <c r="H51" i="28" s="1"/>
  <c r="F51" i="28" s="1"/>
  <c r="H55" i="28"/>
  <c r="H56" i="28"/>
  <c r="H53" i="28"/>
  <c r="F53" i="28" s="1"/>
  <c r="H58" i="28"/>
  <c r="H59" i="28"/>
  <c r="P14" i="25"/>
  <c r="H54" i="28"/>
  <c r="H60" i="28"/>
  <c r="H57" i="28"/>
  <c r="H52" i="28"/>
  <c r="F52" i="28" s="1"/>
  <c r="E35" i="36"/>
  <c r="H78" i="62"/>
  <c r="F105" i="62"/>
  <c r="N8" i="28"/>
  <c r="N10" i="28"/>
  <c r="N11" i="28"/>
  <c r="N12" i="28"/>
  <c r="L60" i="28"/>
  <c r="L56" i="28"/>
  <c r="L59" i="28"/>
  <c r="L58" i="28"/>
  <c r="L57" i="28"/>
  <c r="L61" i="28"/>
  <c r="I35" i="51"/>
  <c r="J36" i="51"/>
  <c r="G79" i="62"/>
  <c r="V41" i="26"/>
  <c r="U41" i="26"/>
  <c r="D36" i="36"/>
  <c r="K109" i="50"/>
  <c r="B65" i="50"/>
  <c r="F64" i="50"/>
  <c r="H64" i="50" s="1"/>
  <c r="D65" i="50" s="1"/>
  <c r="G64" i="50"/>
  <c r="C67" i="50"/>
  <c r="E66" i="50"/>
  <c r="L109" i="50"/>
  <c r="O108" i="50"/>
  <c r="N108" i="50"/>
  <c r="P108" i="50"/>
  <c r="O11" i="48" l="1"/>
  <c r="O8" i="48"/>
  <c r="Q55" i="28"/>
  <c r="L55" i="28" s="1"/>
  <c r="F55" i="28" s="1"/>
  <c r="K44" i="28" s="1"/>
  <c r="M59" i="28"/>
  <c r="F54" i="28"/>
  <c r="J44" i="28" s="1"/>
  <c r="Q108" i="50"/>
  <c r="M109" i="50" s="1"/>
  <c r="M58" i="28"/>
  <c r="M60" i="28"/>
  <c r="M57" i="28"/>
  <c r="O12" i="28"/>
  <c r="O10" i="28"/>
  <c r="O8" i="28"/>
  <c r="O11" i="28"/>
  <c r="N13" i="28"/>
  <c r="N14" i="28" s="1"/>
  <c r="N19" i="28" s="1"/>
  <c r="N25" i="28" s="1"/>
  <c r="N26" i="28" s="1"/>
  <c r="N28" i="28" s="1"/>
  <c r="G80" i="62"/>
  <c r="D37" i="36"/>
  <c r="D50" i="62"/>
  <c r="H15" i="25"/>
  <c r="C3" i="69" s="1"/>
  <c r="M46" i="28"/>
  <c r="M32" i="28"/>
  <c r="U69" i="28"/>
  <c r="P11" i="28"/>
  <c r="P12" i="28"/>
  <c r="P8" i="28"/>
  <c r="P10" i="28"/>
  <c r="K110" i="50"/>
  <c r="B66" i="50"/>
  <c r="F65" i="50"/>
  <c r="H65" i="50" s="1"/>
  <c r="D66" i="50" s="1"/>
  <c r="G65" i="50"/>
  <c r="C68" i="50"/>
  <c r="E67" i="50"/>
  <c r="L110" i="50"/>
  <c r="N109" i="50"/>
  <c r="O109" i="50"/>
  <c r="P109" i="50"/>
  <c r="Q11" i="48" l="1"/>
  <c r="Q8" i="48"/>
  <c r="Q109" i="50"/>
  <c r="M110" i="50" s="1"/>
  <c r="G37" i="25"/>
  <c r="D45" i="62"/>
  <c r="R24" i="1"/>
  <c r="R13" i="1"/>
  <c r="B9" i="36"/>
  <c r="U70" i="28"/>
  <c r="N46" i="28"/>
  <c r="N32" i="28"/>
  <c r="S69" i="28"/>
  <c r="T56" i="28"/>
  <c r="S56" i="28" s="1"/>
  <c r="Q56" i="28" s="1"/>
  <c r="M56" i="28" s="1"/>
  <c r="F56" i="28" s="1"/>
  <c r="L44" i="28" s="1"/>
  <c r="P13" i="28"/>
  <c r="P14" i="28" s="1"/>
  <c r="P19" i="28" s="1"/>
  <c r="P25" i="28" s="1"/>
  <c r="P26" i="28" s="1"/>
  <c r="P28" i="28" s="1"/>
  <c r="N59" i="28"/>
  <c r="N61" i="28"/>
  <c r="N58" i="28"/>
  <c r="N60" i="28"/>
  <c r="O13" i="28"/>
  <c r="O14" i="28" s="1"/>
  <c r="O19" i="28" s="1"/>
  <c r="O25" i="28" s="1"/>
  <c r="O26" i="28" s="1"/>
  <c r="O28" i="28" s="1"/>
  <c r="B67" i="50"/>
  <c r="F66" i="50"/>
  <c r="H66" i="50" s="1"/>
  <c r="D67" i="50" s="1"/>
  <c r="G66" i="50"/>
  <c r="C69" i="50"/>
  <c r="E68" i="50"/>
  <c r="L111" i="50"/>
  <c r="O110" i="50"/>
  <c r="N110" i="50"/>
  <c r="P110" i="50"/>
  <c r="K111" i="50"/>
  <c r="Q110" i="50" l="1"/>
  <c r="M111" i="50" s="1"/>
  <c r="O32" i="28"/>
  <c r="U71" i="28"/>
  <c r="O46" i="28"/>
  <c r="O59" i="28"/>
  <c r="O61" i="28"/>
  <c r="O60" i="28"/>
  <c r="U72" i="28"/>
  <c r="T28" i="28"/>
  <c r="U73" i="28" s="1"/>
  <c r="S73" i="28" s="1"/>
  <c r="P31" i="28"/>
  <c r="Q61" i="28"/>
  <c r="P46" i="28"/>
  <c r="S70" i="28"/>
  <c r="T57" i="28"/>
  <c r="S57" i="28" s="1"/>
  <c r="Q57" i="28" s="1"/>
  <c r="N57" i="28" s="1"/>
  <c r="F57" i="28" s="1"/>
  <c r="K112" i="50"/>
  <c r="B68" i="50"/>
  <c r="G67" i="50"/>
  <c r="F67" i="50"/>
  <c r="H67" i="50" s="1"/>
  <c r="D68" i="50" s="1"/>
  <c r="C70" i="50"/>
  <c r="E69" i="50"/>
  <c r="L112" i="50"/>
  <c r="O111" i="50"/>
  <c r="N111" i="50"/>
  <c r="P111" i="50"/>
  <c r="U61" i="28" l="1"/>
  <c r="U74" i="28" s="1"/>
  <c r="S74" i="28" s="1"/>
  <c r="Q111" i="50"/>
  <c r="M112" i="50" s="1"/>
  <c r="S72" i="28"/>
  <c r="T59" i="28"/>
  <c r="S59" i="28" s="1"/>
  <c r="Q59" i="28" s="1"/>
  <c r="P59" i="28" s="1"/>
  <c r="F59" i="28" s="1"/>
  <c r="O44" i="28" s="1"/>
  <c r="T58" i="28"/>
  <c r="S58" i="28" s="1"/>
  <c r="Q58" i="28" s="1"/>
  <c r="O58" i="28" s="1"/>
  <c r="F58" i="28" s="1"/>
  <c r="N44" i="28" s="1"/>
  <c r="S71" i="28"/>
  <c r="M44" i="28"/>
  <c r="G38" i="25"/>
  <c r="P38" i="28"/>
  <c r="P32" i="28"/>
  <c r="T60" i="28" s="1"/>
  <c r="S60" i="28" s="1"/>
  <c r="Q60" i="28" s="1"/>
  <c r="P60" i="28"/>
  <c r="P61" i="28"/>
  <c r="B69" i="50"/>
  <c r="F68" i="50"/>
  <c r="H68" i="50" s="1"/>
  <c r="D69" i="50" s="1"/>
  <c r="G68" i="50"/>
  <c r="C71" i="50"/>
  <c r="E70" i="50"/>
  <c r="L113" i="50"/>
  <c r="O112" i="50"/>
  <c r="N112" i="50"/>
  <c r="P112" i="50"/>
  <c r="K113" i="50"/>
  <c r="T61" i="28" l="1"/>
  <c r="S61" i="28" s="1"/>
  <c r="R61" i="28" s="1"/>
  <c r="F61" i="28" s="1"/>
  <c r="Q112" i="50"/>
  <c r="M113" i="50" s="1"/>
  <c r="F60" i="28"/>
  <c r="G39" i="25" s="1"/>
  <c r="K114" i="50"/>
  <c r="B70" i="50"/>
  <c r="F69" i="50"/>
  <c r="H69" i="50" s="1"/>
  <c r="D70" i="50" s="1"/>
  <c r="G69" i="50"/>
  <c r="C72" i="50"/>
  <c r="E71" i="50"/>
  <c r="L114" i="50"/>
  <c r="O113" i="50"/>
  <c r="N113" i="50"/>
  <c r="P113" i="50"/>
  <c r="Q113" i="50" l="1"/>
  <c r="M114" i="50" s="1"/>
  <c r="P44" i="28"/>
  <c r="T13" i="1" s="1"/>
  <c r="B71" i="50"/>
  <c r="G70" i="50"/>
  <c r="F70" i="50"/>
  <c r="H70" i="50" s="1"/>
  <c r="D71" i="50" s="1"/>
  <c r="C73" i="50"/>
  <c r="E72" i="50"/>
  <c r="L115" i="50"/>
  <c r="O114" i="50"/>
  <c r="N114" i="50"/>
  <c r="P114" i="50"/>
  <c r="K115" i="50"/>
  <c r="Q114" i="50" l="1"/>
  <c r="M115" i="50" s="1"/>
  <c r="K116" i="50"/>
  <c r="T24" i="1"/>
  <c r="B72" i="50"/>
  <c r="F71" i="50"/>
  <c r="H71" i="50" s="1"/>
  <c r="D72" i="50" s="1"/>
  <c r="G71" i="50"/>
  <c r="C74" i="50"/>
  <c r="E73" i="50"/>
  <c r="L116" i="50"/>
  <c r="O115" i="50"/>
  <c r="N115" i="50"/>
  <c r="P115" i="50"/>
  <c r="Q115" i="50" l="1"/>
  <c r="M116" i="50" s="1"/>
  <c r="F72" i="50"/>
  <c r="H72" i="50" s="1"/>
  <c r="D73" i="50" s="1"/>
  <c r="B73" i="50"/>
  <c r="G72" i="50"/>
  <c r="C75" i="50"/>
  <c r="E74" i="50"/>
  <c r="L117" i="50"/>
  <c r="O116" i="50"/>
  <c r="N116" i="50"/>
  <c r="P116" i="50"/>
  <c r="K117" i="50"/>
  <c r="Q116" i="50" l="1"/>
  <c r="M117" i="50" s="1"/>
  <c r="K118" i="50"/>
  <c r="B74" i="50"/>
  <c r="F73" i="50"/>
  <c r="H73" i="50" s="1"/>
  <c r="D74" i="50" s="1"/>
  <c r="G73" i="50"/>
  <c r="C76" i="50"/>
  <c r="E75" i="50"/>
  <c r="L118" i="50"/>
  <c r="O117" i="50"/>
  <c r="N117" i="50"/>
  <c r="P117" i="50"/>
  <c r="Q117" i="50" l="1"/>
  <c r="M118" i="50" s="1"/>
  <c r="B75" i="50"/>
  <c r="F74" i="50"/>
  <c r="H74" i="50" s="1"/>
  <c r="D75" i="50" s="1"/>
  <c r="G74" i="50"/>
  <c r="C77" i="50"/>
  <c r="E76" i="50"/>
  <c r="L119" i="50"/>
  <c r="O118" i="50"/>
  <c r="N118" i="50"/>
  <c r="P118" i="50"/>
  <c r="K119" i="50"/>
  <c r="K120" i="50" l="1"/>
  <c r="Q118" i="50"/>
  <c r="M119" i="50" s="1"/>
  <c r="F75" i="50"/>
  <c r="H75" i="50" s="1"/>
  <c r="D76" i="50" s="1"/>
  <c r="G75" i="50"/>
  <c r="B76" i="50"/>
  <c r="C78" i="50"/>
  <c r="E77" i="50"/>
  <c r="L120" i="50"/>
  <c r="O119" i="50"/>
  <c r="N119" i="50"/>
  <c r="P119" i="50"/>
  <c r="Q119" i="50" l="1"/>
  <c r="M120" i="50" s="1"/>
  <c r="B77" i="50"/>
  <c r="F76" i="50"/>
  <c r="H76" i="50" s="1"/>
  <c r="D77" i="50" s="1"/>
  <c r="G76" i="50"/>
  <c r="C79" i="50"/>
  <c r="E78" i="50"/>
  <c r="L121" i="50"/>
  <c r="O120" i="50"/>
  <c r="N120" i="50"/>
  <c r="P120" i="50"/>
  <c r="K121" i="50"/>
  <c r="Q120" i="50" l="1"/>
  <c r="M121" i="50" s="1"/>
  <c r="K122" i="50"/>
  <c r="B78" i="50"/>
  <c r="G77" i="50"/>
  <c r="F77" i="50"/>
  <c r="H77" i="50" s="1"/>
  <c r="D78" i="50" s="1"/>
  <c r="C80" i="50"/>
  <c r="E79" i="50"/>
  <c r="L122" i="50"/>
  <c r="O121" i="50"/>
  <c r="N121" i="50"/>
  <c r="P121" i="50"/>
  <c r="Q121" i="50" l="1"/>
  <c r="M122" i="50" s="1"/>
  <c r="B79" i="50"/>
  <c r="G78" i="50"/>
  <c r="F78" i="50"/>
  <c r="H78" i="50" s="1"/>
  <c r="D79" i="50" s="1"/>
  <c r="C81" i="50"/>
  <c r="E80" i="50"/>
  <c r="L123" i="50"/>
  <c r="O122" i="50"/>
  <c r="N122" i="50"/>
  <c r="P122" i="50"/>
  <c r="K123" i="50"/>
  <c r="Q122" i="50" l="1"/>
  <c r="M123" i="50" s="1"/>
  <c r="B80" i="50"/>
  <c r="F79" i="50"/>
  <c r="H79" i="50" s="1"/>
  <c r="D80" i="50" s="1"/>
  <c r="G79" i="50"/>
  <c r="K124" i="50"/>
  <c r="C82" i="50"/>
  <c r="E81" i="50"/>
  <c r="L124" i="50"/>
  <c r="O123" i="50"/>
  <c r="N123" i="50"/>
  <c r="P123" i="50"/>
  <c r="Q123" i="50" l="1"/>
  <c r="M124" i="50" s="1"/>
  <c r="B81" i="50"/>
  <c r="F80" i="50"/>
  <c r="H80" i="50" s="1"/>
  <c r="D81" i="50" s="1"/>
  <c r="G80" i="50"/>
  <c r="C83" i="50"/>
  <c r="E82" i="50"/>
  <c r="L125" i="50"/>
  <c r="O124" i="50"/>
  <c r="N124" i="50"/>
  <c r="P124" i="50"/>
  <c r="K125" i="50"/>
  <c r="Q124" i="50" l="1"/>
  <c r="M125" i="50" s="1"/>
  <c r="B82" i="50"/>
  <c r="G81" i="50"/>
  <c r="F81" i="50"/>
  <c r="H81" i="50" s="1"/>
  <c r="D82" i="50" s="1"/>
  <c r="K126" i="50"/>
  <c r="C84" i="50"/>
  <c r="E83" i="50"/>
  <c r="L126" i="50"/>
  <c r="O125" i="50"/>
  <c r="N125" i="50"/>
  <c r="P125" i="50"/>
  <c r="Q125" i="50" l="1"/>
  <c r="M126" i="50" s="1"/>
  <c r="B83" i="50"/>
  <c r="G82" i="50"/>
  <c r="F82" i="50"/>
  <c r="H82" i="50" s="1"/>
  <c r="D83" i="50" s="1"/>
  <c r="C85" i="50"/>
  <c r="E84" i="50"/>
  <c r="L127" i="50"/>
  <c r="O126" i="50"/>
  <c r="N126" i="50"/>
  <c r="P126" i="50"/>
  <c r="K127" i="50"/>
  <c r="Q126" i="50" l="1"/>
  <c r="M127" i="50" s="1"/>
  <c r="K128" i="50"/>
  <c r="B84" i="50"/>
  <c r="G83" i="50"/>
  <c r="F83" i="50"/>
  <c r="H83" i="50" s="1"/>
  <c r="D84" i="50" s="1"/>
  <c r="C86" i="50"/>
  <c r="E85" i="50"/>
  <c r="L128" i="50"/>
  <c r="O127" i="50"/>
  <c r="N127" i="50"/>
  <c r="P127" i="50"/>
  <c r="Q127" i="50" l="1"/>
  <c r="M128" i="50" s="1"/>
  <c r="B85" i="50"/>
  <c r="F84" i="50"/>
  <c r="H84" i="50" s="1"/>
  <c r="D85" i="50" s="1"/>
  <c r="G84" i="50"/>
  <c r="C87" i="50"/>
  <c r="E86" i="50"/>
  <c r="L129" i="50"/>
  <c r="O128" i="50"/>
  <c r="N128" i="50"/>
  <c r="P128" i="50"/>
  <c r="K129" i="50"/>
  <c r="Q128" i="50" l="1"/>
  <c r="M129" i="50" s="1"/>
  <c r="K130" i="50"/>
  <c r="F85" i="50"/>
  <c r="H85" i="50" s="1"/>
  <c r="D86" i="50" s="1"/>
  <c r="B86" i="50"/>
  <c r="G85" i="50"/>
  <c r="C88" i="50"/>
  <c r="E87" i="50"/>
  <c r="L130" i="50"/>
  <c r="O129" i="50"/>
  <c r="N129" i="50"/>
  <c r="P129" i="50"/>
  <c r="Q129" i="50" l="1"/>
  <c r="M130" i="50" s="1"/>
  <c r="B87" i="50"/>
  <c r="F86" i="50"/>
  <c r="H86" i="50" s="1"/>
  <c r="D87" i="50" s="1"/>
  <c r="G86" i="50"/>
  <c r="C89" i="50"/>
  <c r="E88" i="50"/>
  <c r="L131" i="50"/>
  <c r="O130" i="50"/>
  <c r="N130" i="50"/>
  <c r="P130" i="50"/>
  <c r="K131" i="50"/>
  <c r="Q130" i="50" l="1"/>
  <c r="M131" i="50" s="1"/>
  <c r="K132" i="50"/>
  <c r="B88" i="50"/>
  <c r="F87" i="50"/>
  <c r="H87" i="50" s="1"/>
  <c r="D88" i="50" s="1"/>
  <c r="G87" i="50"/>
  <c r="C90" i="50"/>
  <c r="E89" i="50"/>
  <c r="L132" i="50"/>
  <c r="O131" i="50"/>
  <c r="N131" i="50"/>
  <c r="P131" i="50"/>
  <c r="Q131" i="50" l="1"/>
  <c r="M132" i="50" s="1"/>
  <c r="B89" i="50"/>
  <c r="F88" i="50"/>
  <c r="H88" i="50" s="1"/>
  <c r="D89" i="50" s="1"/>
  <c r="G88" i="50"/>
  <c r="C91" i="50"/>
  <c r="E90" i="50"/>
  <c r="L133" i="50"/>
  <c r="O132" i="50"/>
  <c r="N132" i="50"/>
  <c r="P132" i="50"/>
  <c r="K133" i="50"/>
  <c r="Q132" i="50" l="1"/>
  <c r="M133" i="50" s="1"/>
  <c r="K134" i="50"/>
  <c r="F89" i="50"/>
  <c r="H89" i="50" s="1"/>
  <c r="D90" i="50" s="1"/>
  <c r="B90" i="50"/>
  <c r="G89" i="50"/>
  <c r="C92" i="50"/>
  <c r="E91" i="50"/>
  <c r="L134" i="50"/>
  <c r="N133" i="50"/>
  <c r="O133" i="50"/>
  <c r="P133" i="50"/>
  <c r="Q133" i="50" l="1"/>
  <c r="M134" i="50" s="1"/>
  <c r="B91" i="50"/>
  <c r="F90" i="50"/>
  <c r="H90" i="50" s="1"/>
  <c r="D91" i="50" s="1"/>
  <c r="G90" i="50"/>
  <c r="C93" i="50"/>
  <c r="E92" i="50"/>
  <c r="L135" i="50"/>
  <c r="O134" i="50"/>
  <c r="N134" i="50"/>
  <c r="P134" i="50"/>
  <c r="K135" i="50"/>
  <c r="Q134" i="50" l="1"/>
  <c r="M135" i="50" s="1"/>
  <c r="K136" i="50"/>
  <c r="F91" i="50"/>
  <c r="H91" i="50" s="1"/>
  <c r="D92" i="50" s="1"/>
  <c r="B92" i="50"/>
  <c r="G91" i="50"/>
  <c r="C94" i="50"/>
  <c r="E93" i="50"/>
  <c r="L136" i="50"/>
  <c r="O135" i="50"/>
  <c r="N135" i="50"/>
  <c r="P135" i="50"/>
  <c r="Q135" i="50" l="1"/>
  <c r="M136" i="50" s="1"/>
  <c r="B93" i="50"/>
  <c r="F92" i="50"/>
  <c r="H92" i="50" s="1"/>
  <c r="D93" i="50" s="1"/>
  <c r="G92" i="50"/>
  <c r="C95" i="50"/>
  <c r="E94" i="50"/>
  <c r="L137" i="50"/>
  <c r="O136" i="50"/>
  <c r="N136" i="50"/>
  <c r="P136" i="50"/>
  <c r="K137" i="50"/>
  <c r="Q136" i="50" l="1"/>
  <c r="M137" i="50" s="1"/>
  <c r="K138" i="50"/>
  <c r="B94" i="50"/>
  <c r="F93" i="50"/>
  <c r="H93" i="50" s="1"/>
  <c r="D94" i="50" s="1"/>
  <c r="G93" i="50"/>
  <c r="C96" i="50"/>
  <c r="E95" i="50"/>
  <c r="L138" i="50"/>
  <c r="O137" i="50"/>
  <c r="N137" i="50"/>
  <c r="P137" i="50"/>
  <c r="Q137" i="50" l="1"/>
  <c r="M138" i="50" s="1"/>
  <c r="B95" i="50"/>
  <c r="F94" i="50"/>
  <c r="H94" i="50" s="1"/>
  <c r="D95" i="50" s="1"/>
  <c r="G94" i="50"/>
  <c r="C97" i="50"/>
  <c r="E96" i="50"/>
  <c r="L139" i="50"/>
  <c r="O138" i="50"/>
  <c r="N138" i="50"/>
  <c r="P138" i="50"/>
  <c r="K139" i="50"/>
  <c r="Q138" i="50" l="1"/>
  <c r="M139" i="50" s="1"/>
  <c r="K140" i="50"/>
  <c r="F95" i="50"/>
  <c r="H95" i="50" s="1"/>
  <c r="D96" i="50" s="1"/>
  <c r="B96" i="50"/>
  <c r="G95" i="50"/>
  <c r="C98" i="50"/>
  <c r="E97" i="50"/>
  <c r="L140" i="50"/>
  <c r="O139" i="50"/>
  <c r="N139" i="50"/>
  <c r="P139" i="50"/>
  <c r="Q139" i="50" l="1"/>
  <c r="M140" i="50" s="1"/>
  <c r="B97" i="50"/>
  <c r="F96" i="50"/>
  <c r="H96" i="50" s="1"/>
  <c r="D97" i="50" s="1"/>
  <c r="G96" i="50"/>
  <c r="C99" i="50"/>
  <c r="E98" i="50"/>
  <c r="L141" i="50"/>
  <c r="O140" i="50"/>
  <c r="N140" i="50"/>
  <c r="P140" i="50"/>
  <c r="K141" i="50"/>
  <c r="Q140" i="50" l="1"/>
  <c r="M141" i="50" s="1"/>
  <c r="F97" i="50"/>
  <c r="H97" i="50" s="1"/>
  <c r="D98" i="50" s="1"/>
  <c r="B98" i="50"/>
  <c r="G97" i="50"/>
  <c r="K142" i="50"/>
  <c r="C100" i="50"/>
  <c r="E99" i="50"/>
  <c r="L142" i="50"/>
  <c r="N141" i="50"/>
  <c r="O141" i="50"/>
  <c r="P141" i="50"/>
  <c r="Q141" i="50" l="1"/>
  <c r="M142" i="50" s="1"/>
  <c r="B99" i="50"/>
  <c r="F98" i="50"/>
  <c r="H98" i="50" s="1"/>
  <c r="D99" i="50" s="1"/>
  <c r="G98" i="50"/>
  <c r="C101" i="50"/>
  <c r="E100" i="50"/>
  <c r="L143" i="50"/>
  <c r="O142" i="50"/>
  <c r="N142" i="50"/>
  <c r="P142" i="50"/>
  <c r="K143" i="50"/>
  <c r="Q142" i="50" l="1"/>
  <c r="M143" i="50" s="1"/>
  <c r="B100" i="50"/>
  <c r="F99" i="50"/>
  <c r="H99" i="50" s="1"/>
  <c r="D100" i="50" s="1"/>
  <c r="G99" i="50"/>
  <c r="K144" i="50"/>
  <c r="C102" i="50"/>
  <c r="E101" i="50"/>
  <c r="L144" i="50"/>
  <c r="O143" i="50"/>
  <c r="N143" i="50"/>
  <c r="P143" i="50"/>
  <c r="Q143" i="50" l="1"/>
  <c r="M144" i="50" s="1"/>
  <c r="B101" i="50"/>
  <c r="F100" i="50"/>
  <c r="H100" i="50" s="1"/>
  <c r="D101" i="50" s="1"/>
  <c r="G100" i="50"/>
  <c r="C103" i="50"/>
  <c r="E102" i="50"/>
  <c r="L145" i="50"/>
  <c r="O144" i="50"/>
  <c r="N144" i="50"/>
  <c r="P144" i="50"/>
  <c r="K145" i="50"/>
  <c r="Q144" i="50" l="1"/>
  <c r="M145" i="50" s="1"/>
  <c r="K146" i="50"/>
  <c r="B102" i="50"/>
  <c r="F101" i="50"/>
  <c r="H101" i="50" s="1"/>
  <c r="D102" i="50" s="1"/>
  <c r="G101" i="50"/>
  <c r="C104" i="50"/>
  <c r="E103" i="50"/>
  <c r="L146" i="50"/>
  <c r="O145" i="50"/>
  <c r="N145" i="50"/>
  <c r="P145" i="50"/>
  <c r="Q145" i="50" l="1"/>
  <c r="M146" i="50" s="1"/>
  <c r="B103" i="50"/>
  <c r="F102" i="50"/>
  <c r="H102" i="50" s="1"/>
  <c r="D103" i="50" s="1"/>
  <c r="G102" i="50"/>
  <c r="C105" i="50"/>
  <c r="E104" i="50"/>
  <c r="L147" i="50"/>
  <c r="O146" i="50"/>
  <c r="N146" i="50"/>
  <c r="P146" i="50"/>
  <c r="K147" i="50"/>
  <c r="Q146" i="50" l="1"/>
  <c r="M147" i="50" s="1"/>
  <c r="K148" i="50"/>
  <c r="F103" i="50"/>
  <c r="H103" i="50" s="1"/>
  <c r="D104" i="50" s="1"/>
  <c r="B104" i="50"/>
  <c r="G103" i="50"/>
  <c r="C106" i="50"/>
  <c r="E105" i="50"/>
  <c r="L148" i="50"/>
  <c r="O147" i="50"/>
  <c r="N147" i="50"/>
  <c r="P147" i="50"/>
  <c r="Q147" i="50" l="1"/>
  <c r="M148" i="50" s="1"/>
  <c r="B105" i="50"/>
  <c r="F104" i="50"/>
  <c r="H104" i="50" s="1"/>
  <c r="D105" i="50" s="1"/>
  <c r="G104" i="50"/>
  <c r="C107" i="50"/>
  <c r="E106" i="50"/>
  <c r="L149" i="50"/>
  <c r="O148" i="50"/>
  <c r="N148" i="50"/>
  <c r="P148" i="50"/>
  <c r="K149" i="50"/>
  <c r="Q148" i="50" l="1"/>
  <c r="M149" i="50" s="1"/>
  <c r="K150" i="50"/>
  <c r="F105" i="50"/>
  <c r="H105" i="50" s="1"/>
  <c r="D106" i="50" s="1"/>
  <c r="B106" i="50"/>
  <c r="G105" i="50"/>
  <c r="C108" i="50"/>
  <c r="E107" i="50"/>
  <c r="L150" i="50"/>
  <c r="O149" i="50"/>
  <c r="N149" i="50"/>
  <c r="P149" i="50"/>
  <c r="Q149" i="50" l="1"/>
  <c r="M150" i="50" s="1"/>
  <c r="B107" i="50"/>
  <c r="F106" i="50"/>
  <c r="H106" i="50" s="1"/>
  <c r="D107" i="50" s="1"/>
  <c r="G106" i="50"/>
  <c r="C109" i="50"/>
  <c r="E108" i="50"/>
  <c r="L151" i="50"/>
  <c r="O150" i="50"/>
  <c r="N150" i="50"/>
  <c r="P150" i="50"/>
  <c r="K151" i="50"/>
  <c r="Q150" i="50" l="1"/>
  <c r="M151" i="50" s="1"/>
  <c r="K152" i="50"/>
  <c r="B108" i="50"/>
  <c r="F107" i="50"/>
  <c r="H107" i="50" s="1"/>
  <c r="D108" i="50" s="1"/>
  <c r="G107" i="50"/>
  <c r="C110" i="50"/>
  <c r="E109" i="50"/>
  <c r="L152" i="50"/>
  <c r="O151" i="50"/>
  <c r="N151" i="50"/>
  <c r="P151" i="50"/>
  <c r="Q151" i="50" l="1"/>
  <c r="M152" i="50" s="1"/>
  <c r="B109" i="50"/>
  <c r="F108" i="50"/>
  <c r="H108" i="50" s="1"/>
  <c r="D109" i="50" s="1"/>
  <c r="G108" i="50"/>
  <c r="C111" i="50"/>
  <c r="E110" i="50"/>
  <c r="L153" i="50"/>
  <c r="O152" i="50"/>
  <c r="N152" i="50"/>
  <c r="P152" i="50"/>
  <c r="K153" i="50"/>
  <c r="Q152" i="50" l="1"/>
  <c r="M153" i="50" s="1"/>
  <c r="K154" i="50"/>
  <c r="F109" i="50"/>
  <c r="H109" i="50" s="1"/>
  <c r="D110" i="50" s="1"/>
  <c r="B110" i="50"/>
  <c r="G109" i="50"/>
  <c r="C112" i="50"/>
  <c r="E111" i="50"/>
  <c r="L154" i="50"/>
  <c r="O153" i="50"/>
  <c r="N153" i="50"/>
  <c r="P153" i="50"/>
  <c r="Q153" i="50" l="1"/>
  <c r="M154" i="50" s="1"/>
  <c r="B111" i="50"/>
  <c r="F110" i="50"/>
  <c r="H110" i="50" s="1"/>
  <c r="D111" i="50" s="1"/>
  <c r="G110" i="50"/>
  <c r="C113" i="50"/>
  <c r="E112" i="50"/>
  <c r="L155" i="50"/>
  <c r="O154" i="50"/>
  <c r="N154" i="50"/>
  <c r="P154" i="50"/>
  <c r="K155" i="50"/>
  <c r="Q154" i="50" l="1"/>
  <c r="M155" i="50" s="1"/>
  <c r="K156" i="50"/>
  <c r="F111" i="50"/>
  <c r="H111" i="50" s="1"/>
  <c r="D112" i="50" s="1"/>
  <c r="B112" i="50"/>
  <c r="G111" i="50"/>
  <c r="C114" i="50"/>
  <c r="E113" i="50"/>
  <c r="L156" i="50"/>
  <c r="O155" i="50"/>
  <c r="N155" i="50"/>
  <c r="P155" i="50"/>
  <c r="Q155" i="50" l="1"/>
  <c r="M156" i="50" s="1"/>
  <c r="F112" i="50"/>
  <c r="H112" i="50" s="1"/>
  <c r="D113" i="50" s="1"/>
  <c r="B113" i="50"/>
  <c r="G112" i="50"/>
  <c r="C115" i="50"/>
  <c r="E114" i="50"/>
  <c r="L157" i="50"/>
  <c r="O156" i="50"/>
  <c r="N156" i="50"/>
  <c r="P156" i="50"/>
  <c r="K157" i="50"/>
  <c r="K158" i="50" l="1"/>
  <c r="Q156" i="50"/>
  <c r="M157" i="50" s="1"/>
  <c r="B114" i="50"/>
  <c r="F113" i="50"/>
  <c r="H113" i="50" s="1"/>
  <c r="D114" i="50" s="1"/>
  <c r="G113" i="50"/>
  <c r="C116" i="50"/>
  <c r="E115" i="50"/>
  <c r="L158" i="50"/>
  <c r="O157" i="50"/>
  <c r="N157" i="50"/>
  <c r="P157" i="50"/>
  <c r="Q157" i="50" l="1"/>
  <c r="M158" i="50" s="1"/>
  <c r="B115" i="50"/>
  <c r="F114" i="50"/>
  <c r="H114" i="50" s="1"/>
  <c r="D115" i="50" s="1"/>
  <c r="G114" i="50"/>
  <c r="C117" i="50"/>
  <c r="E116" i="50"/>
  <c r="L159" i="50"/>
  <c r="O158" i="50"/>
  <c r="N158" i="50"/>
  <c r="P158" i="50"/>
  <c r="K159" i="50"/>
  <c r="Q158" i="50" l="1"/>
  <c r="M159" i="50" s="1"/>
  <c r="B116" i="50"/>
  <c r="F115" i="50"/>
  <c r="H115" i="50" s="1"/>
  <c r="D116" i="50" s="1"/>
  <c r="G115" i="50"/>
  <c r="K160" i="50"/>
  <c r="C118" i="50"/>
  <c r="E117" i="50"/>
  <c r="L160" i="50"/>
  <c r="O159" i="50"/>
  <c r="N159" i="50"/>
  <c r="P159" i="50"/>
  <c r="Q159" i="50" l="1"/>
  <c r="M160" i="50" s="1"/>
  <c r="G116" i="50"/>
  <c r="B117" i="50"/>
  <c r="F116" i="50"/>
  <c r="H116" i="50" s="1"/>
  <c r="D117" i="50" s="1"/>
  <c r="C119" i="50"/>
  <c r="E118" i="50"/>
  <c r="L161" i="50"/>
  <c r="O160" i="50"/>
  <c r="N160" i="50"/>
  <c r="P160" i="50"/>
  <c r="K161" i="50"/>
  <c r="Q160" i="50" l="1"/>
  <c r="M161" i="50" s="1"/>
  <c r="K162" i="50"/>
  <c r="F117" i="50"/>
  <c r="H117" i="50" s="1"/>
  <c r="D118" i="50" s="1"/>
  <c r="B118" i="50"/>
  <c r="G117" i="50"/>
  <c r="C120" i="50"/>
  <c r="E119" i="50"/>
  <c r="L162" i="50"/>
  <c r="O161" i="50"/>
  <c r="N161" i="50"/>
  <c r="P161" i="50"/>
  <c r="Q161" i="50" l="1"/>
  <c r="M162" i="50" s="1"/>
  <c r="B119" i="50"/>
  <c r="F118" i="50"/>
  <c r="H118" i="50" s="1"/>
  <c r="D119" i="50" s="1"/>
  <c r="G118" i="50"/>
  <c r="C121" i="50"/>
  <c r="E120" i="50"/>
  <c r="L163" i="50"/>
  <c r="O162" i="50"/>
  <c r="N162" i="50"/>
  <c r="P162" i="50"/>
  <c r="K163" i="50"/>
  <c r="Q162" i="50" l="1"/>
  <c r="M163" i="50" s="1"/>
  <c r="K164" i="50"/>
  <c r="B120" i="50"/>
  <c r="F119" i="50"/>
  <c r="H119" i="50" s="1"/>
  <c r="D120" i="50" s="1"/>
  <c r="G119" i="50"/>
  <c r="C122" i="50"/>
  <c r="E121" i="50"/>
  <c r="L164" i="50"/>
  <c r="O163" i="50"/>
  <c r="N163" i="50"/>
  <c r="P163" i="50"/>
  <c r="Q163" i="50" l="1"/>
  <c r="M164" i="50" s="1"/>
  <c r="B121" i="50"/>
  <c r="F120" i="50"/>
  <c r="H120" i="50" s="1"/>
  <c r="D121" i="50" s="1"/>
  <c r="G120" i="50"/>
  <c r="C123" i="50"/>
  <c r="E122" i="50"/>
  <c r="L165" i="50"/>
  <c r="O164" i="50"/>
  <c r="N164" i="50"/>
  <c r="P164" i="50"/>
  <c r="K165" i="50"/>
  <c r="Q164" i="50" l="1"/>
  <c r="M165" i="50" s="1"/>
  <c r="G121" i="50"/>
  <c r="B122" i="50"/>
  <c r="F121" i="50"/>
  <c r="H121" i="50" s="1"/>
  <c r="D122" i="50" s="1"/>
  <c r="K166" i="50"/>
  <c r="C124" i="50"/>
  <c r="E123" i="50"/>
  <c r="L166" i="50"/>
  <c r="N165" i="50"/>
  <c r="O165" i="50"/>
  <c r="P165" i="50"/>
  <c r="Q165" i="50" l="1"/>
  <c r="M166" i="50" s="1"/>
  <c r="F122" i="50"/>
  <c r="H122" i="50" s="1"/>
  <c r="D123" i="50" s="1"/>
  <c r="B123" i="50"/>
  <c r="G122" i="50"/>
  <c r="C125" i="50"/>
  <c r="E124" i="50"/>
  <c r="L167" i="50"/>
  <c r="O166" i="50"/>
  <c r="N166" i="50"/>
  <c r="P166" i="50"/>
  <c r="K167" i="50"/>
  <c r="Q166" i="50" l="1"/>
  <c r="M167" i="50" s="1"/>
  <c r="G123" i="50"/>
  <c r="B124" i="50"/>
  <c r="F123" i="50"/>
  <c r="H123" i="50" s="1"/>
  <c r="D124" i="50" s="1"/>
  <c r="K168" i="50"/>
  <c r="C126" i="50"/>
  <c r="E125" i="50"/>
  <c r="L168" i="50"/>
  <c r="O167" i="50"/>
  <c r="N167" i="50"/>
  <c r="P167" i="50"/>
  <c r="Q167" i="50" l="1"/>
  <c r="M168" i="50" s="1"/>
  <c r="B125" i="50"/>
  <c r="F124" i="50"/>
  <c r="H124" i="50" s="1"/>
  <c r="D125" i="50" s="1"/>
  <c r="G124" i="50"/>
  <c r="C127" i="50"/>
  <c r="E126" i="50"/>
  <c r="L169" i="50"/>
  <c r="O168" i="50"/>
  <c r="N168" i="50"/>
  <c r="P168" i="50"/>
  <c r="K169" i="50"/>
  <c r="Q168" i="50" l="1"/>
  <c r="M169" i="50" s="1"/>
  <c r="B126" i="50"/>
  <c r="F125" i="50"/>
  <c r="H125" i="50" s="1"/>
  <c r="D126" i="50" s="1"/>
  <c r="G125" i="50"/>
  <c r="K170" i="50"/>
  <c r="C128" i="50"/>
  <c r="E127" i="50"/>
  <c r="L170" i="50"/>
  <c r="O169" i="50"/>
  <c r="N169" i="50"/>
  <c r="P169" i="50"/>
  <c r="Q169" i="50" l="1"/>
  <c r="M170" i="50" s="1"/>
  <c r="F126" i="50"/>
  <c r="H126" i="50" s="1"/>
  <c r="D127" i="50" s="1"/>
  <c r="B127" i="50"/>
  <c r="G126" i="50"/>
  <c r="C129" i="50"/>
  <c r="E128" i="50"/>
  <c r="L171" i="50"/>
  <c r="O170" i="50"/>
  <c r="N170" i="50"/>
  <c r="P170" i="50"/>
  <c r="K171" i="50"/>
  <c r="Q170" i="50" l="1"/>
  <c r="M171" i="50" s="1"/>
  <c r="B128" i="50"/>
  <c r="F127" i="50"/>
  <c r="H127" i="50" s="1"/>
  <c r="D128" i="50" s="1"/>
  <c r="G127" i="50"/>
  <c r="K172" i="50"/>
  <c r="C130" i="50"/>
  <c r="E129" i="50"/>
  <c r="L172" i="50"/>
  <c r="O171" i="50"/>
  <c r="N171" i="50"/>
  <c r="P171" i="50"/>
  <c r="Q171" i="50" l="1"/>
  <c r="M172" i="50" s="1"/>
  <c r="B129" i="50"/>
  <c r="F128" i="50"/>
  <c r="H128" i="50" s="1"/>
  <c r="D129" i="50" s="1"/>
  <c r="G128" i="50"/>
  <c r="C131" i="50"/>
  <c r="E130" i="50"/>
  <c r="L173" i="50"/>
  <c r="O172" i="50"/>
  <c r="N172" i="50"/>
  <c r="P172" i="50"/>
  <c r="K173" i="50"/>
  <c r="Q172" i="50" l="1"/>
  <c r="M173" i="50" s="1"/>
  <c r="B130" i="50"/>
  <c r="F129" i="50"/>
  <c r="H129" i="50" s="1"/>
  <c r="D130" i="50" s="1"/>
  <c r="G129" i="50"/>
  <c r="K174" i="50"/>
  <c r="C132" i="50"/>
  <c r="E131" i="50"/>
  <c r="L174" i="50"/>
  <c r="O173" i="50"/>
  <c r="N173" i="50"/>
  <c r="P173" i="50"/>
  <c r="Q173" i="50" l="1"/>
  <c r="M174" i="50" s="1"/>
  <c r="F130" i="50"/>
  <c r="H130" i="50" s="1"/>
  <c r="D131" i="50" s="1"/>
  <c r="B131" i="50"/>
  <c r="G130" i="50"/>
  <c r="C133" i="50"/>
  <c r="E132" i="50"/>
  <c r="L175" i="50"/>
  <c r="O174" i="50"/>
  <c r="N174" i="50"/>
  <c r="P174" i="50"/>
  <c r="K175" i="50"/>
  <c r="K176" i="50" l="1"/>
  <c r="Q174" i="50"/>
  <c r="M175" i="50" s="1"/>
  <c r="B132" i="50"/>
  <c r="F131" i="50"/>
  <c r="H131" i="50" s="1"/>
  <c r="D132" i="50" s="1"/>
  <c r="G131" i="50"/>
  <c r="C134" i="50"/>
  <c r="E133" i="50"/>
  <c r="L176" i="50"/>
  <c r="O175" i="50"/>
  <c r="N175" i="50"/>
  <c r="P175" i="50"/>
  <c r="Q175" i="50" l="1"/>
  <c r="M176" i="50" s="1"/>
  <c r="B133" i="50"/>
  <c r="F132" i="50"/>
  <c r="H132" i="50" s="1"/>
  <c r="D133" i="50" s="1"/>
  <c r="G132" i="50"/>
  <c r="C135" i="50"/>
  <c r="E134" i="50"/>
  <c r="L177" i="50"/>
  <c r="O176" i="50"/>
  <c r="N176" i="50"/>
  <c r="P176" i="50"/>
  <c r="K177" i="50"/>
  <c r="Q176" i="50" l="1"/>
  <c r="M177" i="50" s="1"/>
  <c r="K178" i="50"/>
  <c r="B134" i="50"/>
  <c r="G133" i="50"/>
  <c r="F133" i="50"/>
  <c r="H133" i="50" s="1"/>
  <c r="D134" i="50" s="1"/>
  <c r="C136" i="50"/>
  <c r="E135" i="50"/>
  <c r="L178" i="50"/>
  <c r="O177" i="50"/>
  <c r="N177" i="50"/>
  <c r="P177" i="50"/>
  <c r="Q177" i="50" l="1"/>
  <c r="M178" i="50" s="1"/>
  <c r="B135" i="50"/>
  <c r="F134" i="50"/>
  <c r="H134" i="50" s="1"/>
  <c r="D135" i="50" s="1"/>
  <c r="G134" i="50"/>
  <c r="C137" i="50"/>
  <c r="E136" i="50"/>
  <c r="L179" i="50"/>
  <c r="O178" i="50"/>
  <c r="N178" i="50"/>
  <c r="P178" i="50"/>
  <c r="K179" i="50"/>
  <c r="Q178" i="50" l="1"/>
  <c r="M179" i="50" s="1"/>
  <c r="B136" i="50"/>
  <c r="F135" i="50"/>
  <c r="H135" i="50" s="1"/>
  <c r="D136" i="50" s="1"/>
  <c r="G135" i="50"/>
  <c r="K180" i="50"/>
  <c r="C138" i="50"/>
  <c r="E137" i="50"/>
  <c r="L180" i="50"/>
  <c r="O179" i="50"/>
  <c r="N179" i="50"/>
  <c r="P179" i="50"/>
  <c r="Q179" i="50" l="1"/>
  <c r="M180" i="50" s="1"/>
  <c r="B137" i="50"/>
  <c r="F136" i="50"/>
  <c r="H136" i="50" s="1"/>
  <c r="D137" i="50" s="1"/>
  <c r="G136" i="50"/>
  <c r="C139" i="50"/>
  <c r="E138" i="50"/>
  <c r="L181" i="50"/>
  <c r="O180" i="50"/>
  <c r="N180" i="50"/>
  <c r="P180" i="50"/>
  <c r="K181" i="50"/>
  <c r="Q180" i="50" l="1"/>
  <c r="M181" i="50" s="1"/>
  <c r="K182" i="50"/>
  <c r="B138" i="50"/>
  <c r="F137" i="50"/>
  <c r="H137" i="50" s="1"/>
  <c r="D138" i="50" s="1"/>
  <c r="G137" i="50"/>
  <c r="C140" i="50"/>
  <c r="E139" i="50"/>
  <c r="L182" i="50"/>
  <c r="O181" i="50"/>
  <c r="N181" i="50"/>
  <c r="P181" i="50"/>
  <c r="Q181" i="50" l="1"/>
  <c r="M182" i="50" s="1"/>
  <c r="B139" i="50"/>
  <c r="F138" i="50"/>
  <c r="H138" i="50" s="1"/>
  <c r="D139" i="50" s="1"/>
  <c r="G138" i="50"/>
  <c r="C141" i="50"/>
  <c r="E140" i="50"/>
  <c r="L183" i="50"/>
  <c r="O182" i="50"/>
  <c r="N182" i="50"/>
  <c r="P182" i="50"/>
  <c r="K183" i="50"/>
  <c r="Q182" i="50" l="1"/>
  <c r="M183" i="50" s="1"/>
  <c r="K184" i="50"/>
  <c r="B140" i="50"/>
  <c r="G139" i="50"/>
  <c r="F139" i="50"/>
  <c r="H139" i="50" s="1"/>
  <c r="D140" i="50" s="1"/>
  <c r="C142" i="50"/>
  <c r="E141" i="50"/>
  <c r="L184" i="50"/>
  <c r="O183" i="50"/>
  <c r="N183" i="50"/>
  <c r="P183" i="50"/>
  <c r="Q183" i="50" l="1"/>
  <c r="M184" i="50" s="1"/>
  <c r="B141" i="50"/>
  <c r="F140" i="50"/>
  <c r="H140" i="50" s="1"/>
  <c r="D141" i="50" s="1"/>
  <c r="G140" i="50"/>
  <c r="C143" i="50"/>
  <c r="E142" i="50"/>
  <c r="L185" i="50"/>
  <c r="O184" i="50"/>
  <c r="N184" i="50"/>
  <c r="P184" i="50"/>
  <c r="K185" i="50"/>
  <c r="Q184" i="50" l="1"/>
  <c r="M185" i="50" s="1"/>
  <c r="F141" i="50"/>
  <c r="H141" i="50" s="1"/>
  <c r="D142" i="50" s="1"/>
  <c r="G141" i="50"/>
  <c r="B142" i="50"/>
  <c r="K186" i="50"/>
  <c r="C144" i="50"/>
  <c r="E143" i="50"/>
  <c r="L186" i="50"/>
  <c r="O185" i="50"/>
  <c r="N185" i="50"/>
  <c r="P185" i="50"/>
  <c r="Q185" i="50" l="1"/>
  <c r="M186" i="50" s="1"/>
  <c r="B143" i="50"/>
  <c r="F142" i="50"/>
  <c r="H142" i="50" s="1"/>
  <c r="D143" i="50" s="1"/>
  <c r="G142" i="50"/>
  <c r="C145" i="50"/>
  <c r="E144" i="50"/>
  <c r="L187" i="50"/>
  <c r="O186" i="50"/>
  <c r="N186" i="50"/>
  <c r="P186" i="50"/>
  <c r="K187" i="50"/>
  <c r="Q186" i="50" l="1"/>
  <c r="M187" i="50" s="1"/>
  <c r="K188" i="50"/>
  <c r="B144" i="50"/>
  <c r="G143" i="50"/>
  <c r="F143" i="50"/>
  <c r="H143" i="50" s="1"/>
  <c r="D144" i="50" s="1"/>
  <c r="C146" i="50"/>
  <c r="E145" i="50"/>
  <c r="L188" i="50"/>
  <c r="O187" i="50"/>
  <c r="N187" i="50"/>
  <c r="P187" i="50"/>
  <c r="Q187" i="50" l="1"/>
  <c r="M188" i="50" s="1"/>
  <c r="B145" i="50"/>
  <c r="G144" i="50"/>
  <c r="F144" i="50"/>
  <c r="H144" i="50" s="1"/>
  <c r="D145" i="50" s="1"/>
  <c r="C147" i="50"/>
  <c r="E146" i="50"/>
  <c r="L189" i="50"/>
  <c r="O188" i="50"/>
  <c r="N188" i="50"/>
  <c r="P188" i="50"/>
  <c r="K189" i="50"/>
  <c r="Q188" i="50" l="1"/>
  <c r="M189" i="50" s="1"/>
  <c r="K190" i="50"/>
  <c r="B146" i="50"/>
  <c r="F145" i="50"/>
  <c r="H145" i="50" s="1"/>
  <c r="D146" i="50" s="1"/>
  <c r="G145" i="50"/>
  <c r="C148" i="50"/>
  <c r="E147" i="50"/>
  <c r="L190" i="50"/>
  <c r="O189" i="50"/>
  <c r="N189" i="50"/>
  <c r="P189" i="50"/>
  <c r="Q189" i="50" l="1"/>
  <c r="M190" i="50" s="1"/>
  <c r="B147" i="50"/>
  <c r="G146" i="50"/>
  <c r="F146" i="50"/>
  <c r="H146" i="50" s="1"/>
  <c r="D147" i="50" s="1"/>
  <c r="C149" i="50"/>
  <c r="E148" i="50"/>
  <c r="L191" i="50"/>
  <c r="O190" i="50"/>
  <c r="N190" i="50"/>
  <c r="P190" i="50"/>
  <c r="K191" i="50"/>
  <c r="Q190" i="50" l="1"/>
  <c r="M191" i="50" s="1"/>
  <c r="B148" i="50"/>
  <c r="F147" i="50"/>
  <c r="H147" i="50" s="1"/>
  <c r="D148" i="50" s="1"/>
  <c r="G147" i="50"/>
  <c r="K192" i="50"/>
  <c r="C150" i="50"/>
  <c r="E149" i="50"/>
  <c r="L192" i="50"/>
  <c r="O191" i="50"/>
  <c r="N191" i="50"/>
  <c r="P191" i="50"/>
  <c r="Q191" i="50" l="1"/>
  <c r="M192" i="50" s="1"/>
  <c r="G148" i="50"/>
  <c r="B149" i="50"/>
  <c r="F148" i="50"/>
  <c r="H148" i="50" s="1"/>
  <c r="D149" i="50" s="1"/>
  <c r="C151" i="50"/>
  <c r="E150" i="50"/>
  <c r="L193" i="50"/>
  <c r="O192" i="50"/>
  <c r="N192" i="50"/>
  <c r="P192" i="50"/>
  <c r="K193" i="50"/>
  <c r="Q192" i="50" l="1"/>
  <c r="M193" i="50" s="1"/>
  <c r="F149" i="50"/>
  <c r="H149" i="50" s="1"/>
  <c r="D150" i="50" s="1"/>
  <c r="B150" i="50"/>
  <c r="G149" i="50"/>
  <c r="K194" i="50"/>
  <c r="C152" i="50"/>
  <c r="E151" i="50"/>
  <c r="L194" i="50"/>
  <c r="O193" i="50"/>
  <c r="N193" i="50"/>
  <c r="P193" i="50"/>
  <c r="Q193" i="50" l="1"/>
  <c r="M194" i="50" s="1"/>
  <c r="B151" i="50"/>
  <c r="F150" i="50"/>
  <c r="H150" i="50" s="1"/>
  <c r="D151" i="50" s="1"/>
  <c r="G150" i="50"/>
  <c r="C153" i="50"/>
  <c r="E152" i="50"/>
  <c r="L195" i="50"/>
  <c r="O194" i="50"/>
  <c r="N194" i="50"/>
  <c r="P194" i="50"/>
  <c r="K195" i="50"/>
  <c r="Q194" i="50" l="1"/>
  <c r="M195" i="50" s="1"/>
  <c r="B152" i="50"/>
  <c r="F151" i="50"/>
  <c r="H151" i="50" s="1"/>
  <c r="D152" i="50" s="1"/>
  <c r="G151" i="50"/>
  <c r="K196" i="50"/>
  <c r="C154" i="50"/>
  <c r="E153" i="50"/>
  <c r="L196" i="50"/>
  <c r="O195" i="50"/>
  <c r="N195" i="50"/>
  <c r="P195" i="50"/>
  <c r="Q195" i="50" l="1"/>
  <c r="M196" i="50" s="1"/>
  <c r="G152" i="50"/>
  <c r="F152" i="50"/>
  <c r="H152" i="50" s="1"/>
  <c r="D153" i="50" s="1"/>
  <c r="B153" i="50"/>
  <c r="C155" i="50"/>
  <c r="E154" i="50"/>
  <c r="L197" i="50"/>
  <c r="O196" i="50"/>
  <c r="N196" i="50"/>
  <c r="P196" i="50"/>
  <c r="K197" i="50"/>
  <c r="Q196" i="50" l="1"/>
  <c r="M197" i="50" s="1"/>
  <c r="B154" i="50"/>
  <c r="G153" i="50"/>
  <c r="F153" i="50"/>
  <c r="H153" i="50" s="1"/>
  <c r="D154" i="50" s="1"/>
  <c r="K198" i="50"/>
  <c r="C156" i="50"/>
  <c r="E155" i="50"/>
  <c r="L198" i="50"/>
  <c r="O197" i="50"/>
  <c r="N197" i="50"/>
  <c r="P197" i="50"/>
  <c r="Q197" i="50" l="1"/>
  <c r="M198" i="50" s="1"/>
  <c r="F154" i="50"/>
  <c r="H154" i="50" s="1"/>
  <c r="D155" i="50" s="1"/>
  <c r="B155" i="50"/>
  <c r="G154" i="50"/>
  <c r="C157" i="50"/>
  <c r="E156" i="50"/>
  <c r="L199" i="50"/>
  <c r="O198" i="50"/>
  <c r="N198" i="50"/>
  <c r="P198" i="50"/>
  <c r="K199" i="50"/>
  <c r="Q198" i="50" l="1"/>
  <c r="M199" i="50" s="1"/>
  <c r="B156" i="50"/>
  <c r="G155" i="50"/>
  <c r="F155" i="50"/>
  <c r="H155" i="50" s="1"/>
  <c r="D156" i="50" s="1"/>
  <c r="K200" i="50"/>
  <c r="C158" i="50"/>
  <c r="E157" i="50"/>
  <c r="L200" i="50"/>
  <c r="O199" i="50"/>
  <c r="N199" i="50"/>
  <c r="P199" i="50"/>
  <c r="Q199" i="50" l="1"/>
  <c r="M200" i="50" s="1"/>
  <c r="B157" i="50"/>
  <c r="F156" i="50"/>
  <c r="H156" i="50" s="1"/>
  <c r="D157" i="50" s="1"/>
  <c r="G156" i="50"/>
  <c r="C159" i="50"/>
  <c r="E158" i="50"/>
  <c r="L201" i="50"/>
  <c r="O200" i="50"/>
  <c r="N200" i="50"/>
  <c r="P200" i="50"/>
  <c r="K201" i="50"/>
  <c r="Q200" i="50" l="1"/>
  <c r="M201" i="50" s="1"/>
  <c r="B158" i="50"/>
  <c r="G157" i="50"/>
  <c r="F157" i="50"/>
  <c r="H157" i="50" s="1"/>
  <c r="D158" i="50" s="1"/>
  <c r="K202" i="50"/>
  <c r="C160" i="50"/>
  <c r="E159" i="50"/>
  <c r="L202" i="50"/>
  <c r="O201" i="50"/>
  <c r="N201" i="50"/>
  <c r="P201" i="50"/>
  <c r="Q201" i="50" l="1"/>
  <c r="M202" i="50" s="1"/>
  <c r="F158" i="50"/>
  <c r="H158" i="50" s="1"/>
  <c r="D159" i="50" s="1"/>
  <c r="B159" i="50"/>
  <c r="G158" i="50"/>
  <c r="C161" i="50"/>
  <c r="E160" i="50"/>
  <c r="L203" i="50"/>
  <c r="O202" i="50"/>
  <c r="N202" i="50"/>
  <c r="P202" i="50"/>
  <c r="K203" i="50"/>
  <c r="Q202" i="50" l="1"/>
  <c r="M203" i="50" s="1"/>
  <c r="B160" i="50"/>
  <c r="G159" i="50"/>
  <c r="F159" i="50"/>
  <c r="H159" i="50" s="1"/>
  <c r="D160" i="50" s="1"/>
  <c r="K204" i="50"/>
  <c r="C162" i="50"/>
  <c r="E161" i="50"/>
  <c r="L204" i="50"/>
  <c r="O203" i="50"/>
  <c r="N203" i="50"/>
  <c r="P203" i="50"/>
  <c r="Q203" i="50" l="1"/>
  <c r="M204" i="50" s="1"/>
  <c r="B161" i="50"/>
  <c r="F160" i="50"/>
  <c r="H160" i="50" s="1"/>
  <c r="D161" i="50" s="1"/>
  <c r="G160" i="50"/>
  <c r="C163" i="50"/>
  <c r="E162" i="50"/>
  <c r="L205" i="50"/>
  <c r="O204" i="50"/>
  <c r="N204" i="50"/>
  <c r="P204" i="50"/>
  <c r="K205" i="50"/>
  <c r="Q204" i="50" l="1"/>
  <c r="M205" i="50" s="1"/>
  <c r="B162" i="50"/>
  <c r="F161" i="50"/>
  <c r="H161" i="50" s="1"/>
  <c r="D162" i="50" s="1"/>
  <c r="G161" i="50"/>
  <c r="K206" i="50"/>
  <c r="C164" i="50"/>
  <c r="E163" i="50"/>
  <c r="L206" i="50"/>
  <c r="O205" i="50"/>
  <c r="N205" i="50"/>
  <c r="P205" i="50"/>
  <c r="Q205" i="50" l="1"/>
  <c r="M206" i="50" s="1"/>
  <c r="G162" i="50"/>
  <c r="F162" i="50"/>
  <c r="H162" i="50" s="1"/>
  <c r="D163" i="50" s="1"/>
  <c r="B163" i="50"/>
  <c r="C165" i="50"/>
  <c r="E164" i="50"/>
  <c r="L207" i="50"/>
  <c r="O206" i="50"/>
  <c r="N206" i="50"/>
  <c r="P206" i="50"/>
  <c r="K207" i="50"/>
  <c r="Q206" i="50" l="1"/>
  <c r="M207" i="50" s="1"/>
  <c r="B164" i="50"/>
  <c r="G163" i="50"/>
  <c r="F163" i="50"/>
  <c r="H163" i="50" s="1"/>
  <c r="D164" i="50" s="1"/>
  <c r="K208" i="50"/>
  <c r="C166" i="50"/>
  <c r="E165" i="50"/>
  <c r="L208" i="50"/>
  <c r="O207" i="50"/>
  <c r="N207" i="50"/>
  <c r="P207" i="50"/>
  <c r="Q207" i="50" l="1"/>
  <c r="M208" i="50" s="1"/>
  <c r="G164" i="50"/>
  <c r="F164" i="50"/>
  <c r="H164" i="50" s="1"/>
  <c r="D165" i="50" s="1"/>
  <c r="B165" i="50"/>
  <c r="C167" i="50"/>
  <c r="E166" i="50"/>
  <c r="L209" i="50"/>
  <c r="O208" i="50"/>
  <c r="N208" i="50"/>
  <c r="P208" i="50"/>
  <c r="K209" i="50"/>
  <c r="Q208" i="50" l="1"/>
  <c r="M209" i="50" s="1"/>
  <c r="B166" i="50"/>
  <c r="G165" i="50"/>
  <c r="F165" i="50"/>
  <c r="H165" i="50" s="1"/>
  <c r="D166" i="50" s="1"/>
  <c r="K210" i="50"/>
  <c r="C168" i="50"/>
  <c r="E167" i="50"/>
  <c r="L210" i="50"/>
  <c r="O209" i="50"/>
  <c r="N209" i="50"/>
  <c r="P209" i="50"/>
  <c r="Q209" i="50" l="1"/>
  <c r="M210" i="50" s="1"/>
  <c r="F166" i="50"/>
  <c r="H166" i="50" s="1"/>
  <c r="D167" i="50" s="1"/>
  <c r="B167" i="50"/>
  <c r="G166" i="50"/>
  <c r="C169" i="50"/>
  <c r="E168" i="50"/>
  <c r="L211" i="50"/>
  <c r="O210" i="50"/>
  <c r="N210" i="50"/>
  <c r="P210" i="50"/>
  <c r="K211" i="50"/>
  <c r="K212" i="50" l="1"/>
  <c r="Q210" i="50"/>
  <c r="M211" i="50" s="1"/>
  <c r="B168" i="50"/>
  <c r="G167" i="50"/>
  <c r="F167" i="50"/>
  <c r="H167" i="50" s="1"/>
  <c r="D168" i="50" s="1"/>
  <c r="C170" i="50"/>
  <c r="E169" i="50"/>
  <c r="L212" i="50"/>
  <c r="O211" i="50"/>
  <c r="N211" i="50"/>
  <c r="P211" i="50"/>
  <c r="Q211" i="50" l="1"/>
  <c r="M212" i="50" s="1"/>
  <c r="B169" i="50"/>
  <c r="G168" i="50"/>
  <c r="F168" i="50"/>
  <c r="H168" i="50" s="1"/>
  <c r="D169" i="50" s="1"/>
  <c r="C171" i="50"/>
  <c r="E170" i="50"/>
  <c r="L213" i="50"/>
  <c r="O212" i="50"/>
  <c r="N212" i="50"/>
  <c r="P212" i="50"/>
  <c r="K213" i="50"/>
  <c r="B170" i="50" l="1"/>
  <c r="F169" i="50"/>
  <c r="H169" i="50" s="1"/>
  <c r="D170" i="50" s="1"/>
  <c r="G169" i="50"/>
  <c r="Q212" i="50"/>
  <c r="M213" i="50" s="1"/>
  <c r="K214" i="50"/>
  <c r="C172" i="50"/>
  <c r="E171" i="50"/>
  <c r="L214" i="50"/>
  <c r="O213" i="50"/>
  <c r="P213" i="50"/>
  <c r="N213" i="50"/>
  <c r="B171" i="50" l="1"/>
  <c r="G170" i="50"/>
  <c r="F170" i="50"/>
  <c r="H170" i="50" s="1"/>
  <c r="D171" i="50" s="1"/>
  <c r="Q213" i="50"/>
  <c r="M214" i="50" s="1"/>
  <c r="C173" i="50"/>
  <c r="E172" i="50"/>
  <c r="L215" i="50"/>
  <c r="O214" i="50"/>
  <c r="N214" i="50"/>
  <c r="P214" i="50"/>
  <c r="K215" i="50"/>
  <c r="Q214" i="50" l="1"/>
  <c r="M215" i="50" s="1"/>
  <c r="G171" i="50"/>
  <c r="B172" i="50"/>
  <c r="F171" i="50"/>
  <c r="H171" i="50" s="1"/>
  <c r="D172" i="50" s="1"/>
  <c r="K216" i="50"/>
  <c r="C174" i="50"/>
  <c r="E173" i="50"/>
  <c r="L216" i="50"/>
  <c r="O215" i="50"/>
  <c r="P215" i="50"/>
  <c r="N215" i="50"/>
  <c r="F172" i="50" l="1"/>
  <c r="H172" i="50" s="1"/>
  <c r="D173" i="50" s="1"/>
  <c r="B173" i="50"/>
  <c r="G172" i="50"/>
  <c r="Q215" i="50"/>
  <c r="M216" i="50" s="1"/>
  <c r="C175" i="50"/>
  <c r="E174" i="50"/>
  <c r="L217" i="50"/>
  <c r="O216" i="50"/>
  <c r="N216" i="50"/>
  <c r="P216" i="50"/>
  <c r="K217" i="50"/>
  <c r="F173" i="50" l="1"/>
  <c r="H173" i="50" s="1"/>
  <c r="D174" i="50" s="1"/>
  <c r="B174" i="50"/>
  <c r="G173" i="50"/>
  <c r="Q216" i="50"/>
  <c r="M217" i="50" s="1"/>
  <c r="K218" i="50"/>
  <c r="C176" i="50"/>
  <c r="E175" i="50"/>
  <c r="L218" i="50"/>
  <c r="O217" i="50"/>
  <c r="P217" i="50"/>
  <c r="N217" i="50"/>
  <c r="G174" i="50" l="1"/>
  <c r="B175" i="50"/>
  <c r="F174" i="50"/>
  <c r="H174" i="50" s="1"/>
  <c r="D175" i="50" s="1"/>
  <c r="Q217" i="50"/>
  <c r="M218" i="50" s="1"/>
  <c r="C177" i="50"/>
  <c r="E176" i="50"/>
  <c r="L219" i="50"/>
  <c r="O218" i="50"/>
  <c r="N218" i="50"/>
  <c r="P218" i="50"/>
  <c r="K219" i="50"/>
  <c r="B176" i="50" l="1"/>
  <c r="F175" i="50"/>
  <c r="H175" i="50" s="1"/>
  <c r="D176" i="50" s="1"/>
  <c r="G175" i="50"/>
  <c r="Q218" i="50"/>
  <c r="M219" i="50" s="1"/>
  <c r="K220" i="50"/>
  <c r="C178" i="50"/>
  <c r="E177" i="50"/>
  <c r="L220" i="50"/>
  <c r="O219" i="50"/>
  <c r="P219" i="50"/>
  <c r="N219" i="50"/>
  <c r="B177" i="50" l="1"/>
  <c r="G176" i="50"/>
  <c r="F176" i="50"/>
  <c r="H176" i="50" s="1"/>
  <c r="D177" i="50" s="1"/>
  <c r="Q219" i="50"/>
  <c r="M220" i="50" s="1"/>
  <c r="C179" i="50"/>
  <c r="E178" i="50"/>
  <c r="L221" i="50"/>
  <c r="N220" i="50"/>
  <c r="O220" i="50"/>
  <c r="P220" i="50"/>
  <c r="K221" i="50"/>
  <c r="G177" i="50" l="1"/>
  <c r="F177" i="50"/>
  <c r="H177" i="50" s="1"/>
  <c r="D178" i="50" s="1"/>
  <c r="B178" i="50"/>
  <c r="Q220" i="50"/>
  <c r="M221" i="50" s="1"/>
  <c r="K222" i="50"/>
  <c r="C180" i="50"/>
  <c r="E179" i="50"/>
  <c r="L222" i="50"/>
  <c r="P221" i="50"/>
  <c r="O221" i="50"/>
  <c r="N221" i="50"/>
  <c r="F178" i="50" l="1"/>
  <c r="H178" i="50" s="1"/>
  <c r="D179" i="50" s="1"/>
  <c r="B179" i="50"/>
  <c r="G178" i="50"/>
  <c r="Q221" i="50"/>
  <c r="M222" i="50" s="1"/>
  <c r="C181" i="50"/>
  <c r="E180" i="50"/>
  <c r="L223" i="50"/>
  <c r="O222" i="50"/>
  <c r="N222" i="50"/>
  <c r="P222" i="50"/>
  <c r="K223" i="50"/>
  <c r="G179" i="50" l="1"/>
  <c r="F179" i="50"/>
  <c r="H179" i="50" s="1"/>
  <c r="D180" i="50" s="1"/>
  <c r="B180" i="50"/>
  <c r="Q222" i="50"/>
  <c r="M223" i="50" s="1"/>
  <c r="K224" i="50"/>
  <c r="C182" i="50"/>
  <c r="E181" i="50"/>
  <c r="L224" i="50"/>
  <c r="P223" i="50"/>
  <c r="O223" i="50"/>
  <c r="N223" i="50"/>
  <c r="F180" i="50" l="1"/>
  <c r="H180" i="50" s="1"/>
  <c r="D181" i="50" s="1"/>
  <c r="B181" i="50"/>
  <c r="G180" i="50"/>
  <c r="Q223" i="50"/>
  <c r="M224" i="50" s="1"/>
  <c r="C183" i="50"/>
  <c r="E182" i="50"/>
  <c r="L225" i="50"/>
  <c r="N224" i="50"/>
  <c r="O224" i="50"/>
  <c r="P224" i="50"/>
  <c r="K225" i="50"/>
  <c r="K226" i="50" l="1"/>
  <c r="B182" i="50"/>
  <c r="F181" i="50"/>
  <c r="H181" i="50" s="1"/>
  <c r="D182" i="50" s="1"/>
  <c r="G181" i="50"/>
  <c r="Q224" i="50"/>
  <c r="M225" i="50" s="1"/>
  <c r="C184" i="50"/>
  <c r="E183" i="50"/>
  <c r="L226" i="50"/>
  <c r="P225" i="50"/>
  <c r="O225" i="50"/>
  <c r="N225" i="50"/>
  <c r="F182" i="50" l="1"/>
  <c r="H182" i="50" s="1"/>
  <c r="D183" i="50" s="1"/>
  <c r="B183" i="50"/>
  <c r="G182" i="50"/>
  <c r="Q225" i="50"/>
  <c r="M226" i="50" s="1"/>
  <c r="C185" i="50"/>
  <c r="E184" i="50"/>
  <c r="L227" i="50"/>
  <c r="O226" i="50"/>
  <c r="N226" i="50"/>
  <c r="P226" i="50"/>
  <c r="K227" i="50"/>
  <c r="G183" i="50" l="1"/>
  <c r="F183" i="50"/>
  <c r="H183" i="50" s="1"/>
  <c r="D184" i="50" s="1"/>
  <c r="B184" i="50"/>
  <c r="Q226" i="50"/>
  <c r="M227" i="50" s="1"/>
  <c r="K228" i="50"/>
  <c r="C186" i="50"/>
  <c r="E185" i="50"/>
  <c r="L228" i="50"/>
  <c r="P227" i="50"/>
  <c r="O227" i="50"/>
  <c r="N227" i="50"/>
  <c r="F184" i="50" l="1"/>
  <c r="H184" i="50" s="1"/>
  <c r="D185" i="50" s="1"/>
  <c r="G184" i="50"/>
  <c r="B185" i="50"/>
  <c r="Q227" i="50"/>
  <c r="M228" i="50" s="1"/>
  <c r="C187" i="50"/>
  <c r="E186" i="50"/>
  <c r="L229" i="50"/>
  <c r="N228" i="50"/>
  <c r="O228" i="50"/>
  <c r="P228" i="50"/>
  <c r="K229" i="50"/>
  <c r="G185" i="50" l="1"/>
  <c r="B186" i="50"/>
  <c r="F185" i="50"/>
  <c r="H185" i="50" s="1"/>
  <c r="D186" i="50" s="1"/>
  <c r="Q228" i="50"/>
  <c r="M229" i="50" s="1"/>
  <c r="K230" i="50"/>
  <c r="C188" i="50"/>
  <c r="E187" i="50"/>
  <c r="L230" i="50"/>
  <c r="O229" i="50"/>
  <c r="N229" i="50"/>
  <c r="P229" i="50"/>
  <c r="G186" i="50" l="1"/>
  <c r="F186" i="50"/>
  <c r="H186" i="50" s="1"/>
  <c r="D187" i="50" s="1"/>
  <c r="B187" i="50"/>
  <c r="Q229" i="50"/>
  <c r="M230" i="50" s="1"/>
  <c r="C189" i="50"/>
  <c r="E188" i="50"/>
  <c r="L231" i="50"/>
  <c r="O230" i="50"/>
  <c r="N230" i="50"/>
  <c r="P230" i="50"/>
  <c r="K231" i="50"/>
  <c r="G187" i="50" l="1"/>
  <c r="F187" i="50"/>
  <c r="H187" i="50" s="1"/>
  <c r="D188" i="50" s="1"/>
  <c r="B188" i="50"/>
  <c r="Q230" i="50"/>
  <c r="M231" i="50" s="1"/>
  <c r="K232" i="50"/>
  <c r="C190" i="50"/>
  <c r="E189" i="50"/>
  <c r="L232" i="50"/>
  <c r="O231" i="50"/>
  <c r="N231" i="50"/>
  <c r="P231" i="50"/>
  <c r="B189" i="50" l="1"/>
  <c r="F188" i="50"/>
  <c r="H188" i="50" s="1"/>
  <c r="D189" i="50" s="1"/>
  <c r="G188" i="50"/>
  <c r="Q231" i="50"/>
  <c r="M232" i="50" s="1"/>
  <c r="C191" i="50"/>
  <c r="E190" i="50"/>
  <c r="L233" i="50"/>
  <c r="N232" i="50"/>
  <c r="O232" i="50"/>
  <c r="P232" i="50"/>
  <c r="K233" i="50"/>
  <c r="K234" i="50" l="1"/>
  <c r="F189" i="50"/>
  <c r="H189" i="50" s="1"/>
  <c r="D190" i="50" s="1"/>
  <c r="G189" i="50"/>
  <c r="B190" i="50"/>
  <c r="Q232" i="50"/>
  <c r="M233" i="50" s="1"/>
  <c r="C192" i="50"/>
  <c r="E191" i="50"/>
  <c r="L234" i="50"/>
  <c r="O233" i="50"/>
  <c r="N233" i="50"/>
  <c r="P233" i="50"/>
  <c r="K235" i="50" l="1"/>
  <c r="G190" i="50"/>
  <c r="F190" i="50"/>
  <c r="H190" i="50" s="1"/>
  <c r="D191" i="50" s="1"/>
  <c r="B191" i="50"/>
  <c r="Q233" i="50"/>
  <c r="M234" i="50" s="1"/>
  <c r="C193" i="50"/>
  <c r="E192" i="50"/>
  <c r="L235" i="50"/>
  <c r="O234" i="50"/>
  <c r="N234" i="50"/>
  <c r="P234" i="50"/>
  <c r="K236" i="50" l="1"/>
  <c r="G191" i="50"/>
  <c r="F191" i="50"/>
  <c r="H191" i="50" s="1"/>
  <c r="D192" i="50" s="1"/>
  <c r="B192" i="50"/>
  <c r="Q234" i="50"/>
  <c r="M235" i="50" s="1"/>
  <c r="C194" i="50"/>
  <c r="E193" i="50"/>
  <c r="L236" i="50"/>
  <c r="O235" i="50"/>
  <c r="N235" i="50"/>
  <c r="P235" i="50"/>
  <c r="Q235" i="50" l="1"/>
  <c r="M236" i="50" s="1"/>
  <c r="G192" i="50"/>
  <c r="F192" i="50"/>
  <c r="H192" i="50" s="1"/>
  <c r="D193" i="50" s="1"/>
  <c r="B193" i="50"/>
  <c r="C195" i="50"/>
  <c r="E194" i="50"/>
  <c r="L237" i="50"/>
  <c r="N236" i="50"/>
  <c r="O236" i="50"/>
  <c r="P236" i="50"/>
  <c r="K237" i="50"/>
  <c r="G193" i="50" l="1"/>
  <c r="F193" i="50"/>
  <c r="H193" i="50" s="1"/>
  <c r="D194" i="50" s="1"/>
  <c r="B194" i="50"/>
  <c r="Q236" i="50"/>
  <c r="M237" i="50" s="1"/>
  <c r="K238" i="50"/>
  <c r="C196" i="50"/>
  <c r="E195" i="50"/>
  <c r="L238" i="50"/>
  <c r="O237" i="50"/>
  <c r="N237" i="50"/>
  <c r="P237" i="50"/>
  <c r="B195" i="50" l="1"/>
  <c r="F194" i="50"/>
  <c r="H194" i="50" s="1"/>
  <c r="D195" i="50" s="1"/>
  <c r="G194" i="50"/>
  <c r="Q237" i="50"/>
  <c r="M238" i="50" s="1"/>
  <c r="C197" i="50"/>
  <c r="E196" i="50"/>
  <c r="L239" i="50"/>
  <c r="O238" i="50"/>
  <c r="N238" i="50"/>
  <c r="P238" i="50"/>
  <c r="K239" i="50"/>
  <c r="Q238" i="50" l="1"/>
  <c r="M239" i="50" s="1"/>
  <c r="G195" i="50"/>
  <c r="B196" i="50"/>
  <c r="F195" i="50"/>
  <c r="H195" i="50" s="1"/>
  <c r="D196" i="50" s="1"/>
  <c r="K240" i="50"/>
  <c r="C198" i="50"/>
  <c r="E197" i="50"/>
  <c r="L240" i="50"/>
  <c r="O239" i="50"/>
  <c r="N239" i="50"/>
  <c r="P239" i="50"/>
  <c r="B197" i="50" l="1"/>
  <c r="G196" i="50"/>
  <c r="F196" i="50"/>
  <c r="H196" i="50" s="1"/>
  <c r="D197" i="50" s="1"/>
  <c r="Q239" i="50"/>
  <c r="M240" i="50" s="1"/>
  <c r="C199" i="50"/>
  <c r="E198" i="50"/>
  <c r="L241" i="50"/>
  <c r="N240" i="50"/>
  <c r="O240" i="50"/>
  <c r="P240" i="50"/>
  <c r="K241" i="50"/>
  <c r="K242" i="50" l="1"/>
  <c r="F197" i="50"/>
  <c r="H197" i="50" s="1"/>
  <c r="D198" i="50" s="1"/>
  <c r="B198" i="50"/>
  <c r="G197" i="50"/>
  <c r="Q240" i="50"/>
  <c r="M241" i="50" s="1"/>
  <c r="C200" i="50"/>
  <c r="E199" i="50"/>
  <c r="L242" i="50"/>
  <c r="O241" i="50"/>
  <c r="N241" i="50"/>
  <c r="P241" i="50"/>
  <c r="F198" i="50" l="1"/>
  <c r="H198" i="50" s="1"/>
  <c r="D199" i="50" s="1"/>
  <c r="B199" i="50"/>
  <c r="G198" i="50"/>
  <c r="Q241" i="50"/>
  <c r="M242" i="50" s="1"/>
  <c r="C201" i="50"/>
  <c r="E200" i="50"/>
  <c r="L243" i="50"/>
  <c r="O242" i="50"/>
  <c r="N242" i="50"/>
  <c r="P242" i="50"/>
  <c r="K243" i="50"/>
  <c r="K244" i="50" l="1"/>
  <c r="Q242" i="50"/>
  <c r="M243" i="50" s="1"/>
  <c r="G199" i="50"/>
  <c r="F199" i="50"/>
  <c r="H199" i="50" s="1"/>
  <c r="D200" i="50" s="1"/>
  <c r="B200" i="50"/>
  <c r="C202" i="50"/>
  <c r="E201" i="50"/>
  <c r="L244" i="50"/>
  <c r="O243" i="50"/>
  <c r="N243" i="50"/>
  <c r="P243" i="50"/>
  <c r="F200" i="50" l="1"/>
  <c r="H200" i="50" s="1"/>
  <c r="D201" i="50" s="1"/>
  <c r="G200" i="50"/>
  <c r="B201" i="50"/>
  <c r="Q243" i="50"/>
  <c r="M244" i="50" s="1"/>
  <c r="C203" i="50"/>
  <c r="E202" i="50"/>
  <c r="L245" i="50"/>
  <c r="N244" i="50"/>
  <c r="O244" i="50"/>
  <c r="P244" i="50"/>
  <c r="K245" i="50"/>
  <c r="F201" i="50" l="1"/>
  <c r="H201" i="50" s="1"/>
  <c r="D202" i="50" s="1"/>
  <c r="B202" i="50"/>
  <c r="G201" i="50"/>
  <c r="Q244" i="50"/>
  <c r="M245" i="50" s="1"/>
  <c r="K246" i="50"/>
  <c r="C204" i="50"/>
  <c r="E203" i="50"/>
  <c r="L246" i="50"/>
  <c r="O245" i="50"/>
  <c r="N245" i="50"/>
  <c r="P245" i="50"/>
  <c r="K247" i="50" l="1"/>
  <c r="F202" i="50"/>
  <c r="H202" i="50" s="1"/>
  <c r="D203" i="50" s="1"/>
  <c r="B203" i="50"/>
  <c r="G202" i="50"/>
  <c r="Q245" i="50"/>
  <c r="M246" i="50" s="1"/>
  <c r="C205" i="50"/>
  <c r="E204" i="50"/>
  <c r="L247" i="50"/>
  <c r="O246" i="50"/>
  <c r="N246" i="50"/>
  <c r="P246" i="50"/>
  <c r="G203" i="50" l="1"/>
  <c r="F203" i="50"/>
  <c r="H203" i="50" s="1"/>
  <c r="D204" i="50" s="1"/>
  <c r="B204" i="50"/>
  <c r="Q246" i="50"/>
  <c r="M247" i="50" s="1"/>
  <c r="C206" i="50"/>
  <c r="E205" i="50"/>
  <c r="L248" i="50"/>
  <c r="O247" i="50"/>
  <c r="N247" i="50"/>
  <c r="P247" i="50"/>
  <c r="K248" i="50"/>
  <c r="F204" i="50" l="1"/>
  <c r="H204" i="50" s="1"/>
  <c r="D205" i="50" s="1"/>
  <c r="G204" i="50"/>
  <c r="B205" i="50"/>
  <c r="Q247" i="50"/>
  <c r="M248" i="50" s="1"/>
  <c r="K249" i="50"/>
  <c r="C207" i="50"/>
  <c r="E206" i="50"/>
  <c r="L249" i="50"/>
  <c r="N248" i="50"/>
  <c r="O248" i="50"/>
  <c r="P248" i="50"/>
  <c r="F205" i="50" l="1"/>
  <c r="H205" i="50" s="1"/>
  <c r="D206" i="50" s="1"/>
  <c r="G205" i="50"/>
  <c r="B206" i="50"/>
  <c r="Q248" i="50"/>
  <c r="M249" i="50" s="1"/>
  <c r="C208" i="50"/>
  <c r="E207" i="50"/>
  <c r="L250" i="50"/>
  <c r="O249" i="50"/>
  <c r="N249" i="50"/>
  <c r="P249" i="50"/>
  <c r="K250" i="50"/>
  <c r="G206" i="50" l="1"/>
  <c r="B207" i="50"/>
  <c r="F206" i="50"/>
  <c r="H206" i="50" s="1"/>
  <c r="D207" i="50" s="1"/>
  <c r="Q249" i="50"/>
  <c r="M250" i="50" s="1"/>
  <c r="K251" i="50"/>
  <c r="C209" i="50"/>
  <c r="E208" i="50"/>
  <c r="L251" i="50"/>
  <c r="O250" i="50"/>
  <c r="N250" i="50"/>
  <c r="P250" i="50"/>
  <c r="B208" i="50" l="1"/>
  <c r="G207" i="50"/>
  <c r="F207" i="50"/>
  <c r="H207" i="50" s="1"/>
  <c r="D208" i="50" s="1"/>
  <c r="Q250" i="50"/>
  <c r="M251" i="50" s="1"/>
  <c r="C210" i="50"/>
  <c r="E209" i="50"/>
  <c r="L252" i="50"/>
  <c r="O251" i="50"/>
  <c r="N251" i="50"/>
  <c r="P251" i="50"/>
  <c r="K252" i="50"/>
  <c r="G208" i="50" l="1"/>
  <c r="F208" i="50"/>
  <c r="H208" i="50" s="1"/>
  <c r="D209" i="50" s="1"/>
  <c r="B209" i="50"/>
  <c r="Q251" i="50"/>
  <c r="M252" i="50" s="1"/>
  <c r="C211" i="50"/>
  <c r="E210" i="50"/>
  <c r="L253" i="50"/>
  <c r="N252" i="50"/>
  <c r="O252" i="50"/>
  <c r="P252" i="50"/>
  <c r="K253" i="50"/>
  <c r="F209" i="50" l="1"/>
  <c r="H209" i="50" s="1"/>
  <c r="D210" i="50" s="1"/>
  <c r="B210" i="50"/>
  <c r="G209" i="50"/>
  <c r="Q252" i="50"/>
  <c r="M253" i="50" s="1"/>
  <c r="C212" i="50"/>
  <c r="E211" i="50"/>
  <c r="K254" i="50"/>
  <c r="L254" i="50"/>
  <c r="O253" i="50"/>
  <c r="N253" i="50"/>
  <c r="P253" i="50"/>
  <c r="F210" i="50" l="1"/>
  <c r="H210" i="50" s="1"/>
  <c r="D211" i="50" s="1"/>
  <c r="G210" i="50"/>
  <c r="B211" i="50"/>
  <c r="Q253" i="50"/>
  <c r="M254" i="50" s="1"/>
  <c r="C213" i="50"/>
  <c r="E212" i="50"/>
  <c r="L255" i="50"/>
  <c r="O254" i="50"/>
  <c r="N254" i="50"/>
  <c r="P254" i="50"/>
  <c r="K255" i="50"/>
  <c r="G211" i="50" l="1"/>
  <c r="B212" i="50"/>
  <c r="F211" i="50"/>
  <c r="H211" i="50" s="1"/>
  <c r="D212" i="50" s="1"/>
  <c r="Q254" i="50"/>
  <c r="M255" i="50" s="1"/>
  <c r="K256" i="50"/>
  <c r="C214" i="50"/>
  <c r="E213" i="50"/>
  <c r="L256" i="50"/>
  <c r="O255" i="50"/>
  <c r="N255" i="50"/>
  <c r="P255" i="50"/>
  <c r="K257" i="50" l="1"/>
  <c r="F212" i="50"/>
  <c r="H212" i="50" s="1"/>
  <c r="D213" i="50" s="1"/>
  <c r="B213" i="50"/>
  <c r="G212" i="50"/>
  <c r="Q255" i="50"/>
  <c r="M256" i="50" s="1"/>
  <c r="C215" i="50"/>
  <c r="E214" i="50"/>
  <c r="L257" i="50"/>
  <c r="N256" i="50"/>
  <c r="O256" i="50"/>
  <c r="P256" i="50"/>
  <c r="G213" i="50" l="1"/>
  <c r="B214" i="50"/>
  <c r="F213" i="50"/>
  <c r="H213" i="50" s="1"/>
  <c r="D214" i="50" s="1"/>
  <c r="Q256" i="50"/>
  <c r="M257" i="50" s="1"/>
  <c r="C216" i="50"/>
  <c r="E215" i="50"/>
  <c r="L258" i="50"/>
  <c r="O257" i="50"/>
  <c r="N257" i="50"/>
  <c r="P257" i="50"/>
  <c r="K258" i="50"/>
  <c r="G214" i="50" l="1"/>
  <c r="B215" i="50"/>
  <c r="F214" i="50"/>
  <c r="H214" i="50" s="1"/>
  <c r="D215" i="50" s="1"/>
  <c r="Q257" i="50"/>
  <c r="M258" i="50" s="1"/>
  <c r="K259" i="50"/>
  <c r="C217" i="50"/>
  <c r="E216" i="50"/>
  <c r="L259" i="50"/>
  <c r="O258" i="50"/>
  <c r="N258" i="50"/>
  <c r="P258" i="50"/>
  <c r="K260" i="50" l="1"/>
  <c r="G215" i="50"/>
  <c r="F215" i="50"/>
  <c r="H215" i="50" s="1"/>
  <c r="D216" i="50" s="1"/>
  <c r="B216" i="50"/>
  <c r="Q258" i="50"/>
  <c r="M259" i="50" s="1"/>
  <c r="C218" i="50"/>
  <c r="E217" i="50"/>
  <c r="L260" i="50"/>
  <c r="O259" i="50"/>
  <c r="N259" i="50"/>
  <c r="P259" i="50"/>
  <c r="G216" i="50" l="1"/>
  <c r="F216" i="50"/>
  <c r="H216" i="50" s="1"/>
  <c r="D217" i="50" s="1"/>
  <c r="B217" i="50"/>
  <c r="Q259" i="50"/>
  <c r="M260" i="50" s="1"/>
  <c r="C219" i="50"/>
  <c r="E218" i="50"/>
  <c r="L261" i="50"/>
  <c r="O260" i="50"/>
  <c r="N260" i="50"/>
  <c r="P260" i="50"/>
  <c r="K261" i="50"/>
  <c r="K262" i="50" l="1"/>
  <c r="F217" i="50"/>
  <c r="H217" i="50" s="1"/>
  <c r="D218" i="50" s="1"/>
  <c r="G217" i="50"/>
  <c r="B218" i="50"/>
  <c r="Q260" i="50"/>
  <c r="M261" i="50" s="1"/>
  <c r="C220" i="50"/>
  <c r="E219" i="50"/>
  <c r="L262" i="50"/>
  <c r="O261" i="50"/>
  <c r="N261" i="50"/>
  <c r="P261" i="50"/>
  <c r="K263" i="50" l="1"/>
  <c r="F218" i="50"/>
  <c r="H218" i="50" s="1"/>
  <c r="D219" i="50" s="1"/>
  <c r="B219" i="50"/>
  <c r="G218" i="50"/>
  <c r="Q261" i="50"/>
  <c r="M262" i="50" s="1"/>
  <c r="C221" i="50"/>
  <c r="E220" i="50"/>
  <c r="L263" i="50"/>
  <c r="O262" i="50"/>
  <c r="N262" i="50"/>
  <c r="P262" i="50"/>
  <c r="B220" i="50" l="1"/>
  <c r="F219" i="50"/>
  <c r="H219" i="50" s="1"/>
  <c r="D220" i="50" s="1"/>
  <c r="G219" i="50"/>
  <c r="Q262" i="50"/>
  <c r="M263" i="50" s="1"/>
  <c r="C222" i="50"/>
  <c r="E221" i="50"/>
  <c r="L264" i="50"/>
  <c r="O263" i="50"/>
  <c r="N263" i="50"/>
  <c r="P263" i="50"/>
  <c r="K264" i="50"/>
  <c r="F220" i="50" l="1"/>
  <c r="H220" i="50" s="1"/>
  <c r="D221" i="50" s="1"/>
  <c r="B221" i="50"/>
  <c r="G220" i="50"/>
  <c r="Q263" i="50"/>
  <c r="M264" i="50" s="1"/>
  <c r="C223" i="50"/>
  <c r="E222" i="50"/>
  <c r="L265" i="50"/>
  <c r="O264" i="50"/>
  <c r="N264" i="50"/>
  <c r="P264" i="50"/>
  <c r="K265" i="50"/>
  <c r="Q264" i="50" l="1"/>
  <c r="M265" i="50" s="1"/>
  <c r="B222" i="50"/>
  <c r="G221" i="50"/>
  <c r="F221" i="50"/>
  <c r="H221" i="50" s="1"/>
  <c r="D222" i="50" s="1"/>
  <c r="K266" i="50"/>
  <c r="C224" i="50"/>
  <c r="E223" i="50"/>
  <c r="L266" i="50"/>
  <c r="O265" i="50"/>
  <c r="N265" i="50"/>
  <c r="P265" i="50"/>
  <c r="K267" i="50" l="1"/>
  <c r="F222" i="50"/>
  <c r="H222" i="50" s="1"/>
  <c r="D223" i="50" s="1"/>
  <c r="B223" i="50"/>
  <c r="G222" i="50"/>
  <c r="Q265" i="50"/>
  <c r="M266" i="50" s="1"/>
  <c r="C225" i="50"/>
  <c r="E224" i="50"/>
  <c r="L267" i="50"/>
  <c r="O266" i="50"/>
  <c r="N266" i="50"/>
  <c r="P266" i="50"/>
  <c r="G223" i="50" l="1"/>
  <c r="F223" i="50"/>
  <c r="H223" i="50" s="1"/>
  <c r="D224" i="50" s="1"/>
  <c r="B224" i="50"/>
  <c r="Q266" i="50"/>
  <c r="M267" i="50" s="1"/>
  <c r="C226" i="50"/>
  <c r="E225" i="50"/>
  <c r="L268" i="50"/>
  <c r="O267" i="50"/>
  <c r="N267" i="50"/>
  <c r="P267" i="50"/>
  <c r="K268" i="50"/>
  <c r="F224" i="50" l="1"/>
  <c r="H224" i="50" s="1"/>
  <c r="D225" i="50" s="1"/>
  <c r="G224" i="50"/>
  <c r="B225" i="50"/>
  <c r="Q267" i="50"/>
  <c r="M268" i="50" s="1"/>
  <c r="K269" i="50"/>
  <c r="C227" i="50"/>
  <c r="E226" i="50"/>
  <c r="L269" i="50"/>
  <c r="O268" i="50"/>
  <c r="N268" i="50"/>
  <c r="P268" i="50"/>
  <c r="Q268" i="50" l="1"/>
  <c r="M269" i="50" s="1"/>
  <c r="K270" i="50"/>
  <c r="G225" i="50"/>
  <c r="B226" i="50"/>
  <c r="F225" i="50"/>
  <c r="H225" i="50" s="1"/>
  <c r="D226" i="50" s="1"/>
  <c r="C228" i="50"/>
  <c r="E227" i="50"/>
  <c r="L270" i="50"/>
  <c r="O269" i="50"/>
  <c r="N269" i="50"/>
  <c r="P269" i="50"/>
  <c r="G226" i="50" l="1"/>
  <c r="B227" i="50"/>
  <c r="F226" i="50"/>
  <c r="H226" i="50" s="1"/>
  <c r="D227" i="50" s="1"/>
  <c r="Q269" i="50"/>
  <c r="M270" i="50" s="1"/>
  <c r="C229" i="50"/>
  <c r="E228" i="50"/>
  <c r="L271" i="50"/>
  <c r="O270" i="50"/>
  <c r="N270" i="50"/>
  <c r="P270" i="50"/>
  <c r="K271" i="50"/>
  <c r="B228" i="50" l="1"/>
  <c r="G227" i="50"/>
  <c r="F227" i="50"/>
  <c r="H227" i="50" s="1"/>
  <c r="D228" i="50" s="1"/>
  <c r="Q270" i="50"/>
  <c r="M271" i="50" s="1"/>
  <c r="K272" i="50"/>
  <c r="C230" i="50"/>
  <c r="E229" i="50"/>
  <c r="L272" i="50"/>
  <c r="O271" i="50"/>
  <c r="N271" i="50"/>
  <c r="P271" i="50"/>
  <c r="K273" i="50" l="1"/>
  <c r="G228" i="50"/>
  <c r="F228" i="50"/>
  <c r="H228" i="50" s="1"/>
  <c r="D229" i="50" s="1"/>
  <c r="B229" i="50"/>
  <c r="Q271" i="50"/>
  <c r="M272" i="50" s="1"/>
  <c r="C231" i="50"/>
  <c r="E230" i="50"/>
  <c r="L273" i="50"/>
  <c r="O272" i="50"/>
  <c r="N272" i="50"/>
  <c r="P272" i="50"/>
  <c r="K274" i="50" l="1"/>
  <c r="G229" i="50"/>
  <c r="F229" i="50"/>
  <c r="H229" i="50" s="1"/>
  <c r="D230" i="50" s="1"/>
  <c r="B230" i="50"/>
  <c r="Q272" i="50"/>
  <c r="M273" i="50" s="1"/>
  <c r="C232" i="50"/>
  <c r="E231" i="50"/>
  <c r="L274" i="50"/>
  <c r="O273" i="50"/>
  <c r="N273" i="50"/>
  <c r="P273" i="50"/>
  <c r="K275" i="50" l="1"/>
  <c r="Q273" i="50"/>
  <c r="M274" i="50" s="1"/>
  <c r="G230" i="50"/>
  <c r="F230" i="50"/>
  <c r="H230" i="50" s="1"/>
  <c r="D231" i="50" s="1"/>
  <c r="B231" i="50"/>
  <c r="C233" i="50"/>
  <c r="E232" i="50"/>
  <c r="L275" i="50"/>
  <c r="O274" i="50"/>
  <c r="N274" i="50"/>
  <c r="P274" i="50"/>
  <c r="L43" i="50" l="1"/>
  <c r="P35" i="28" s="1"/>
  <c r="B232" i="50"/>
  <c r="G231" i="50"/>
  <c r="F231" i="50"/>
  <c r="H231" i="50" s="1"/>
  <c r="D232" i="50" s="1"/>
  <c r="Q274" i="50"/>
  <c r="M275" i="50" s="1"/>
  <c r="C234" i="50"/>
  <c r="E233" i="50"/>
  <c r="F43" i="50"/>
  <c r="J35" i="28" s="1"/>
  <c r="L276" i="50"/>
  <c r="O275" i="50"/>
  <c r="N275" i="50"/>
  <c r="P275" i="50"/>
  <c r="K276" i="50"/>
  <c r="B233" i="50" l="1"/>
  <c r="G232" i="50"/>
  <c r="F232" i="50"/>
  <c r="H232" i="50" s="1"/>
  <c r="D233" i="50" s="1"/>
  <c r="Q275" i="50"/>
  <c r="M276" i="50" s="1"/>
  <c r="C235" i="50"/>
  <c r="E234" i="50"/>
  <c r="L277" i="50"/>
  <c r="O276" i="50"/>
  <c r="N276" i="50"/>
  <c r="P276" i="50"/>
  <c r="K277" i="50"/>
  <c r="B234" i="50" l="1"/>
  <c r="F233" i="50"/>
  <c r="H233" i="50" s="1"/>
  <c r="D234" i="50" s="1"/>
  <c r="G233" i="50"/>
  <c r="Q276" i="50"/>
  <c r="M277" i="50" s="1"/>
  <c r="K278" i="50"/>
  <c r="C236" i="50"/>
  <c r="E235" i="50"/>
  <c r="L278" i="50"/>
  <c r="O277" i="50"/>
  <c r="N277" i="50"/>
  <c r="P277" i="50"/>
  <c r="K279" i="50" l="1"/>
  <c r="B235" i="50"/>
  <c r="F234" i="50"/>
  <c r="H234" i="50" s="1"/>
  <c r="D235" i="50" s="1"/>
  <c r="G234" i="50"/>
  <c r="Q277" i="50"/>
  <c r="M278" i="50" s="1"/>
  <c r="C237" i="50"/>
  <c r="E236" i="50"/>
  <c r="L279" i="50"/>
  <c r="O278" i="50"/>
  <c r="N278" i="50"/>
  <c r="P278" i="50"/>
  <c r="B236" i="50" l="1"/>
  <c r="F235" i="50"/>
  <c r="H235" i="50" s="1"/>
  <c r="D236" i="50" s="1"/>
  <c r="G235" i="50"/>
  <c r="Q278" i="50"/>
  <c r="M279" i="50" s="1"/>
  <c r="C238" i="50"/>
  <c r="E237" i="50"/>
  <c r="L280" i="50"/>
  <c r="O279" i="50"/>
  <c r="N279" i="50"/>
  <c r="P279" i="50"/>
  <c r="K280" i="50"/>
  <c r="B237" i="50" l="1"/>
  <c r="F236" i="50"/>
  <c r="H236" i="50" s="1"/>
  <c r="D237" i="50" s="1"/>
  <c r="G236" i="50"/>
  <c r="Q279" i="50"/>
  <c r="M280" i="50" s="1"/>
  <c r="K281" i="50"/>
  <c r="C239" i="50"/>
  <c r="E238" i="50"/>
  <c r="L281" i="50"/>
  <c r="O280" i="50"/>
  <c r="N280" i="50"/>
  <c r="P280" i="50"/>
  <c r="B238" i="50" l="1"/>
  <c r="G237" i="50"/>
  <c r="F237" i="50"/>
  <c r="H237" i="50" s="1"/>
  <c r="D238" i="50" s="1"/>
  <c r="Q280" i="50"/>
  <c r="M281" i="50" s="1"/>
  <c r="C240" i="50"/>
  <c r="E239" i="50"/>
  <c r="L282" i="50"/>
  <c r="O281" i="50"/>
  <c r="N281" i="50"/>
  <c r="P281" i="50"/>
  <c r="K282" i="50"/>
  <c r="B239" i="50" l="1"/>
  <c r="F238" i="50"/>
  <c r="H238" i="50" s="1"/>
  <c r="D239" i="50" s="1"/>
  <c r="G238" i="50"/>
  <c r="Q281" i="50"/>
  <c r="M282" i="50" s="1"/>
  <c r="K283" i="50"/>
  <c r="C241" i="50"/>
  <c r="E240" i="50"/>
  <c r="L283" i="50"/>
  <c r="O282" i="50"/>
  <c r="N282" i="50"/>
  <c r="P282" i="50"/>
  <c r="K284" i="50" l="1"/>
  <c r="F239" i="50"/>
  <c r="H239" i="50" s="1"/>
  <c r="D240" i="50" s="1"/>
  <c r="G239" i="50"/>
  <c r="B240" i="50"/>
  <c r="Q282" i="50"/>
  <c r="M283" i="50" s="1"/>
  <c r="C242" i="50"/>
  <c r="E241" i="50"/>
  <c r="L284" i="50"/>
  <c r="O283" i="50"/>
  <c r="N283" i="50"/>
  <c r="P283" i="50"/>
  <c r="B241" i="50" l="1"/>
  <c r="F240" i="50"/>
  <c r="H240" i="50" s="1"/>
  <c r="D241" i="50" s="1"/>
  <c r="G240" i="50"/>
  <c r="Q283" i="50"/>
  <c r="M284" i="50" s="1"/>
  <c r="C243" i="50"/>
  <c r="E242" i="50"/>
  <c r="L285" i="50"/>
  <c r="O284" i="50"/>
  <c r="N284" i="50"/>
  <c r="P284" i="50"/>
  <c r="K285" i="50"/>
  <c r="Q284" i="50" l="1"/>
  <c r="M285" i="50" s="1"/>
  <c r="B242" i="50"/>
  <c r="F241" i="50"/>
  <c r="H241" i="50" s="1"/>
  <c r="D242" i="50" s="1"/>
  <c r="G241" i="50"/>
  <c r="K286" i="50"/>
  <c r="C244" i="50"/>
  <c r="E243" i="50"/>
  <c r="L286" i="50"/>
  <c r="O285" i="50"/>
  <c r="N285" i="50"/>
  <c r="P285" i="50"/>
  <c r="Q285" i="50" l="1"/>
  <c r="M286" i="50" s="1"/>
  <c r="F242" i="50"/>
  <c r="H242" i="50" s="1"/>
  <c r="D243" i="50" s="1"/>
  <c r="G242" i="50"/>
  <c r="B243" i="50"/>
  <c r="C245" i="50"/>
  <c r="E244" i="50"/>
  <c r="L287" i="50"/>
  <c r="O286" i="50"/>
  <c r="N286" i="50"/>
  <c r="P286" i="50"/>
  <c r="K287" i="50"/>
  <c r="Q286" i="50" l="1"/>
  <c r="M287" i="50" s="1"/>
  <c r="G243" i="50"/>
  <c r="B244" i="50"/>
  <c r="F243" i="50"/>
  <c r="H243" i="50" s="1"/>
  <c r="D244" i="50" s="1"/>
  <c r="C246" i="50"/>
  <c r="E245" i="50"/>
  <c r="K288" i="50"/>
  <c r="L288" i="50"/>
  <c r="O287" i="50"/>
  <c r="N287" i="50"/>
  <c r="P287" i="50"/>
  <c r="B245" i="50" l="1"/>
  <c r="G244" i="50"/>
  <c r="F244" i="50"/>
  <c r="H244" i="50" s="1"/>
  <c r="D245" i="50" s="1"/>
  <c r="Q287" i="50"/>
  <c r="M288" i="50" s="1"/>
  <c r="C247" i="50"/>
  <c r="E246" i="50"/>
  <c r="L289" i="50"/>
  <c r="O288" i="50"/>
  <c r="N288" i="50"/>
  <c r="P288" i="50"/>
  <c r="K289" i="50"/>
  <c r="B246" i="50" l="1"/>
  <c r="G245" i="50"/>
  <c r="F245" i="50"/>
  <c r="H245" i="50" s="1"/>
  <c r="D246" i="50" s="1"/>
  <c r="Q288" i="50"/>
  <c r="M289" i="50" s="1"/>
  <c r="K290" i="50"/>
  <c r="C248" i="50"/>
  <c r="E247" i="50"/>
  <c r="L290" i="50"/>
  <c r="O289" i="50"/>
  <c r="N289" i="50"/>
  <c r="P289" i="50"/>
  <c r="Q289" i="50" l="1"/>
  <c r="M290" i="50" s="1"/>
  <c r="G246" i="50"/>
  <c r="B247" i="50"/>
  <c r="F246" i="50"/>
  <c r="H246" i="50" s="1"/>
  <c r="D247" i="50" s="1"/>
  <c r="C249" i="50"/>
  <c r="E248" i="50"/>
  <c r="L291" i="50"/>
  <c r="O290" i="50"/>
  <c r="N290" i="50"/>
  <c r="P290" i="50"/>
  <c r="K291" i="50"/>
  <c r="F247" i="50" l="1"/>
  <c r="H247" i="50" s="1"/>
  <c r="D248" i="50" s="1"/>
  <c r="B248" i="50"/>
  <c r="G247" i="50"/>
  <c r="Q290" i="50"/>
  <c r="M291" i="50" s="1"/>
  <c r="C250" i="50"/>
  <c r="E249" i="50"/>
  <c r="K292" i="50"/>
  <c r="L292" i="50"/>
  <c r="O291" i="50"/>
  <c r="N291" i="50"/>
  <c r="P291" i="50"/>
  <c r="G248" i="50" l="1"/>
  <c r="B249" i="50"/>
  <c r="F248" i="50"/>
  <c r="H248" i="50" s="1"/>
  <c r="D249" i="50" s="1"/>
  <c r="Q291" i="50"/>
  <c r="M292" i="50" s="1"/>
  <c r="C251" i="50"/>
  <c r="E250" i="50"/>
  <c r="L293" i="50"/>
  <c r="O292" i="50"/>
  <c r="N292" i="50"/>
  <c r="P292" i="50"/>
  <c r="K293" i="50"/>
  <c r="Q292" i="50" l="1"/>
  <c r="M293" i="50" s="1"/>
  <c r="B250" i="50"/>
  <c r="G249" i="50"/>
  <c r="F249" i="50"/>
  <c r="H249" i="50" s="1"/>
  <c r="D250" i="50" s="1"/>
  <c r="K294" i="50"/>
  <c r="C252" i="50"/>
  <c r="E251" i="50"/>
  <c r="L294" i="50"/>
  <c r="O293" i="50"/>
  <c r="N293" i="50"/>
  <c r="P293" i="50"/>
  <c r="G250" i="50" l="1"/>
  <c r="B251" i="50"/>
  <c r="F250" i="50"/>
  <c r="H250" i="50" s="1"/>
  <c r="D251" i="50" s="1"/>
  <c r="Q293" i="50"/>
  <c r="M294" i="50" s="1"/>
  <c r="K295" i="50"/>
  <c r="C253" i="50"/>
  <c r="E252" i="50"/>
  <c r="L295" i="50"/>
  <c r="O294" i="50"/>
  <c r="N294" i="50"/>
  <c r="P294" i="50"/>
  <c r="Q294" i="50" l="1"/>
  <c r="M295" i="50" s="1"/>
  <c r="F251" i="50"/>
  <c r="H251" i="50" s="1"/>
  <c r="D252" i="50" s="1"/>
  <c r="B252" i="50"/>
  <c r="G251" i="50"/>
  <c r="C254" i="50"/>
  <c r="E253" i="50"/>
  <c r="L296" i="50"/>
  <c r="O295" i="50"/>
  <c r="N295" i="50"/>
  <c r="P295" i="50"/>
  <c r="K296" i="50"/>
  <c r="F252" i="50" l="1"/>
  <c r="H252" i="50" s="1"/>
  <c r="D253" i="50" s="1"/>
  <c r="B253" i="50"/>
  <c r="G252" i="50"/>
  <c r="Q295" i="50"/>
  <c r="M296" i="50" s="1"/>
  <c r="C255" i="50"/>
  <c r="E254" i="50"/>
  <c r="L297" i="50"/>
  <c r="O296" i="50"/>
  <c r="N296" i="50"/>
  <c r="P296" i="50"/>
  <c r="K297" i="50"/>
  <c r="B254" i="50" l="1"/>
  <c r="F253" i="50"/>
  <c r="H253" i="50" s="1"/>
  <c r="D254" i="50" s="1"/>
  <c r="G253" i="50"/>
  <c r="Q296" i="50"/>
  <c r="M297" i="50" s="1"/>
  <c r="K298" i="50"/>
  <c r="C256" i="50"/>
  <c r="E255" i="50"/>
  <c r="L298" i="50"/>
  <c r="O297" i="50"/>
  <c r="N297" i="50"/>
  <c r="P297" i="50"/>
  <c r="F254" i="50" l="1"/>
  <c r="H254" i="50" s="1"/>
  <c r="D255" i="50" s="1"/>
  <c r="G254" i="50"/>
  <c r="B255" i="50"/>
  <c r="Q297" i="50"/>
  <c r="M298" i="50" s="1"/>
  <c r="C257" i="50"/>
  <c r="E256" i="50"/>
  <c r="L299" i="50"/>
  <c r="O298" i="50"/>
  <c r="N298" i="50"/>
  <c r="P298" i="50"/>
  <c r="K299" i="50"/>
  <c r="F255" i="50" l="1"/>
  <c r="H255" i="50" s="1"/>
  <c r="D256" i="50" s="1"/>
  <c r="G255" i="50"/>
  <c r="B256" i="50"/>
  <c r="Q298" i="50"/>
  <c r="M299" i="50" s="1"/>
  <c r="K300" i="50"/>
  <c r="C258" i="50"/>
  <c r="E257" i="50"/>
  <c r="L300" i="50"/>
  <c r="O299" i="50"/>
  <c r="N299" i="50"/>
  <c r="P299" i="50"/>
  <c r="F256" i="50" l="1"/>
  <c r="H256" i="50" s="1"/>
  <c r="D257" i="50" s="1"/>
  <c r="G256" i="50"/>
  <c r="B257" i="50"/>
  <c r="Q299" i="50"/>
  <c r="M300" i="50" s="1"/>
  <c r="C259" i="50"/>
  <c r="E258" i="50"/>
  <c r="L301" i="50"/>
  <c r="O300" i="50"/>
  <c r="N300" i="50"/>
  <c r="P300" i="50"/>
  <c r="K301" i="50"/>
  <c r="B258" i="50" l="1"/>
  <c r="F257" i="50"/>
  <c r="H257" i="50" s="1"/>
  <c r="D258" i="50" s="1"/>
  <c r="G257" i="50"/>
  <c r="Q300" i="50"/>
  <c r="M301" i="50" s="1"/>
  <c r="K302" i="50"/>
  <c r="C260" i="50"/>
  <c r="E259" i="50"/>
  <c r="L302" i="50"/>
  <c r="O301" i="50"/>
  <c r="N301" i="50"/>
  <c r="P301" i="50"/>
  <c r="Q301" i="50" l="1"/>
  <c r="M302" i="50" s="1"/>
  <c r="F258" i="50"/>
  <c r="H258" i="50" s="1"/>
  <c r="D259" i="50" s="1"/>
  <c r="G258" i="50"/>
  <c r="B259" i="50"/>
  <c r="K303" i="50"/>
  <c r="C261" i="50"/>
  <c r="E260" i="50"/>
  <c r="L303" i="50"/>
  <c r="O302" i="50"/>
  <c r="N302" i="50"/>
  <c r="P302" i="50"/>
  <c r="K304" i="50" l="1"/>
  <c r="G259" i="50"/>
  <c r="B260" i="50"/>
  <c r="F259" i="50"/>
  <c r="H259" i="50" s="1"/>
  <c r="D260" i="50" s="1"/>
  <c r="Q302" i="50"/>
  <c r="M303" i="50" s="1"/>
  <c r="C262" i="50"/>
  <c r="E261" i="50"/>
  <c r="L304" i="50"/>
  <c r="O303" i="50"/>
  <c r="N303" i="50"/>
  <c r="P303" i="50"/>
  <c r="K305" i="50" l="1"/>
  <c r="Q303" i="50"/>
  <c r="M304" i="50" s="1"/>
  <c r="G260" i="50"/>
  <c r="B261" i="50"/>
  <c r="F260" i="50"/>
  <c r="H260" i="50" s="1"/>
  <c r="D261" i="50" s="1"/>
  <c r="C263" i="50"/>
  <c r="E262" i="50"/>
  <c r="L305" i="50"/>
  <c r="O304" i="50"/>
  <c r="N304" i="50"/>
  <c r="P304" i="50"/>
  <c r="Q304" i="50" l="1"/>
  <c r="M305" i="50" s="1"/>
  <c r="F261" i="50"/>
  <c r="H261" i="50" s="1"/>
  <c r="D262" i="50" s="1"/>
  <c r="B262" i="50"/>
  <c r="G261" i="50"/>
  <c r="C264" i="50"/>
  <c r="E263" i="50"/>
  <c r="L306" i="50"/>
  <c r="O305" i="50"/>
  <c r="N305" i="50"/>
  <c r="P305" i="50"/>
  <c r="K306" i="50"/>
  <c r="B263" i="50" l="1"/>
  <c r="F262" i="50"/>
  <c r="H262" i="50" s="1"/>
  <c r="D263" i="50" s="1"/>
  <c r="G262" i="50"/>
  <c r="Q305" i="50"/>
  <c r="M306" i="50" s="1"/>
  <c r="C265" i="50"/>
  <c r="E264" i="50"/>
  <c r="L307" i="50"/>
  <c r="O306" i="50"/>
  <c r="N306" i="50"/>
  <c r="P306" i="50"/>
  <c r="K307" i="50"/>
  <c r="Q306" i="50" l="1"/>
  <c r="M307" i="50" s="1"/>
  <c r="B264" i="50"/>
  <c r="G263" i="50"/>
  <c r="F263" i="50"/>
  <c r="H263" i="50" s="1"/>
  <c r="D264" i="50" s="1"/>
  <c r="K308" i="50"/>
  <c r="C266" i="50"/>
  <c r="E265" i="50"/>
  <c r="L308" i="50"/>
  <c r="O307" i="50"/>
  <c r="N307" i="50"/>
  <c r="P307" i="50"/>
  <c r="G264" i="50" l="1"/>
  <c r="F264" i="50"/>
  <c r="H264" i="50" s="1"/>
  <c r="D265" i="50" s="1"/>
  <c r="B265" i="50"/>
  <c r="Q307" i="50"/>
  <c r="M308" i="50" s="1"/>
  <c r="C267" i="50"/>
  <c r="E266" i="50"/>
  <c r="L309" i="50"/>
  <c r="O308" i="50"/>
  <c r="N308" i="50"/>
  <c r="P308" i="50"/>
  <c r="K309" i="50"/>
  <c r="G265" i="50" l="1"/>
  <c r="B266" i="50"/>
  <c r="F265" i="50"/>
  <c r="H265" i="50" s="1"/>
  <c r="D266" i="50" s="1"/>
  <c r="Q308" i="50"/>
  <c r="M309" i="50" s="1"/>
  <c r="K310" i="50"/>
  <c r="C268" i="50"/>
  <c r="E267" i="50"/>
  <c r="L310" i="50"/>
  <c r="O309" i="50"/>
  <c r="N309" i="50"/>
  <c r="P309" i="50"/>
  <c r="G266" i="50" l="1"/>
  <c r="B267" i="50"/>
  <c r="F266" i="50"/>
  <c r="H266" i="50" s="1"/>
  <c r="D267" i="50" s="1"/>
  <c r="Q309" i="50"/>
  <c r="M310" i="50" s="1"/>
  <c r="C269" i="50"/>
  <c r="E268" i="50"/>
  <c r="L311" i="50"/>
  <c r="O310" i="50"/>
  <c r="N310" i="50"/>
  <c r="P310" i="50"/>
  <c r="K311" i="50"/>
  <c r="Q310" i="50" l="1"/>
  <c r="M311" i="50" s="1"/>
  <c r="G267" i="50"/>
  <c r="B268" i="50"/>
  <c r="F267" i="50"/>
  <c r="H267" i="50" s="1"/>
  <c r="D268" i="50" s="1"/>
  <c r="K312" i="50"/>
  <c r="C270" i="50"/>
  <c r="E269" i="50"/>
  <c r="L312" i="50"/>
  <c r="O311" i="50"/>
  <c r="N311" i="50"/>
  <c r="P311" i="50"/>
  <c r="K313" i="50" l="1"/>
  <c r="Q311" i="50"/>
  <c r="M312" i="50" s="1"/>
  <c r="F268" i="50"/>
  <c r="H268" i="50" s="1"/>
  <c r="D269" i="50" s="1"/>
  <c r="B269" i="50"/>
  <c r="G268" i="50"/>
  <c r="C271" i="50"/>
  <c r="E270" i="50"/>
  <c r="L313" i="50"/>
  <c r="O312" i="50"/>
  <c r="N312" i="50"/>
  <c r="P312" i="50"/>
  <c r="K314" i="50" l="1"/>
  <c r="G269" i="50"/>
  <c r="B270" i="50"/>
  <c r="F269" i="50"/>
  <c r="H269" i="50" s="1"/>
  <c r="D270" i="50" s="1"/>
  <c r="Q312" i="50"/>
  <c r="M313" i="50" s="1"/>
  <c r="C272" i="50"/>
  <c r="E271" i="50"/>
  <c r="L314" i="50"/>
  <c r="O313" i="50"/>
  <c r="N313" i="50"/>
  <c r="P313" i="50"/>
  <c r="F270" i="50" l="1"/>
  <c r="H270" i="50" s="1"/>
  <c r="D271" i="50" s="1"/>
  <c r="B271" i="50"/>
  <c r="G270" i="50"/>
  <c r="Q313" i="50"/>
  <c r="M314" i="50" s="1"/>
  <c r="C273" i="50"/>
  <c r="E272" i="50"/>
  <c r="L315" i="50"/>
  <c r="O314" i="50"/>
  <c r="N314" i="50"/>
  <c r="P314" i="50"/>
  <c r="K315" i="50"/>
  <c r="F271" i="50" l="1"/>
  <c r="H271" i="50" s="1"/>
  <c r="D272" i="50" s="1"/>
  <c r="G271" i="50"/>
  <c r="B272" i="50"/>
  <c r="Q314" i="50"/>
  <c r="M315" i="50" s="1"/>
  <c r="K316" i="50"/>
  <c r="C274" i="50"/>
  <c r="E273" i="50"/>
  <c r="L316" i="50"/>
  <c r="O315" i="50"/>
  <c r="N315" i="50"/>
  <c r="P315" i="50"/>
  <c r="K317" i="50" l="1"/>
  <c r="F272" i="50"/>
  <c r="H272" i="50" s="1"/>
  <c r="D273" i="50" s="1"/>
  <c r="B273" i="50"/>
  <c r="G272" i="50"/>
  <c r="Q315" i="50"/>
  <c r="M316" i="50" s="1"/>
  <c r="C275" i="50"/>
  <c r="E274" i="50"/>
  <c r="L317" i="50"/>
  <c r="O316" i="50"/>
  <c r="N316" i="50"/>
  <c r="P316" i="50"/>
  <c r="G273" i="50" l="1"/>
  <c r="B274" i="50"/>
  <c r="F273" i="50"/>
  <c r="H273" i="50" s="1"/>
  <c r="D274" i="50" s="1"/>
  <c r="Q316" i="50"/>
  <c r="M317" i="50" s="1"/>
  <c r="C276" i="50"/>
  <c r="E275" i="50"/>
  <c r="L318" i="50"/>
  <c r="O317" i="50"/>
  <c r="N317" i="50"/>
  <c r="P317" i="50"/>
  <c r="K318" i="50"/>
  <c r="Q317" i="50" l="1"/>
  <c r="M318" i="50" s="1"/>
  <c r="B275" i="50"/>
  <c r="G274" i="50"/>
  <c r="F274" i="50"/>
  <c r="H274" i="50" s="1"/>
  <c r="D275" i="50" s="1"/>
  <c r="K319" i="50"/>
  <c r="C277" i="50"/>
  <c r="E276" i="50"/>
  <c r="L319" i="50"/>
  <c r="O318" i="50"/>
  <c r="N318" i="50"/>
  <c r="P318" i="50"/>
  <c r="B276" i="50" l="1"/>
  <c r="F275" i="50"/>
  <c r="H275" i="50" s="1"/>
  <c r="D276" i="50" s="1"/>
  <c r="G275" i="50"/>
  <c r="Q318" i="50"/>
  <c r="M319" i="50" s="1"/>
  <c r="K320" i="50"/>
  <c r="C278" i="50"/>
  <c r="E277" i="50"/>
  <c r="L320" i="50"/>
  <c r="O319" i="50"/>
  <c r="N319" i="50"/>
  <c r="P319" i="50"/>
  <c r="K321" i="50" l="1"/>
  <c r="B277" i="50"/>
  <c r="F276" i="50"/>
  <c r="H276" i="50" s="1"/>
  <c r="D277" i="50" s="1"/>
  <c r="G276" i="50"/>
  <c r="Q319" i="50"/>
  <c r="M320" i="50" s="1"/>
  <c r="C279" i="50"/>
  <c r="E278" i="50"/>
  <c r="L321" i="50"/>
  <c r="O320" i="50"/>
  <c r="N320" i="50"/>
  <c r="P320" i="50"/>
  <c r="Q320" i="50" l="1"/>
  <c r="M321" i="50" s="1"/>
  <c r="G277" i="50"/>
  <c r="F277" i="50"/>
  <c r="H277" i="50" s="1"/>
  <c r="D278" i="50" s="1"/>
  <c r="B278" i="50"/>
  <c r="C280" i="50"/>
  <c r="E279" i="50"/>
  <c r="L322" i="50"/>
  <c r="O321" i="50"/>
  <c r="N321" i="50"/>
  <c r="P321" i="50"/>
  <c r="K322" i="50"/>
  <c r="F278" i="50" l="1"/>
  <c r="H278" i="50" s="1"/>
  <c r="D279" i="50" s="1"/>
  <c r="B279" i="50"/>
  <c r="G278" i="50"/>
  <c r="Q321" i="50"/>
  <c r="M322" i="50" s="1"/>
  <c r="K323" i="50"/>
  <c r="C281" i="50"/>
  <c r="E280" i="50"/>
  <c r="L323" i="50"/>
  <c r="O322" i="50"/>
  <c r="N322" i="50"/>
  <c r="P322" i="50"/>
  <c r="Q322" i="50" l="1"/>
  <c r="M323" i="50" s="1"/>
  <c r="B280" i="50"/>
  <c r="G279" i="50"/>
  <c r="F279" i="50"/>
  <c r="H279" i="50" s="1"/>
  <c r="D280" i="50" s="1"/>
  <c r="C282" i="50"/>
  <c r="E281" i="50"/>
  <c r="L324" i="50"/>
  <c r="O323" i="50"/>
  <c r="N323" i="50"/>
  <c r="P323" i="50"/>
  <c r="K324" i="50"/>
  <c r="G280" i="50" l="1"/>
  <c r="B281" i="50"/>
  <c r="F280" i="50"/>
  <c r="H280" i="50" s="1"/>
  <c r="D281" i="50" s="1"/>
  <c r="Q323" i="50"/>
  <c r="M324" i="50" s="1"/>
  <c r="K325" i="50"/>
  <c r="C283" i="50"/>
  <c r="E282" i="50"/>
  <c r="L325" i="50"/>
  <c r="O324" i="50"/>
  <c r="N324" i="50"/>
  <c r="P324" i="50"/>
  <c r="B282" i="50" l="1"/>
  <c r="G281" i="50"/>
  <c r="F281" i="50"/>
  <c r="H281" i="50" s="1"/>
  <c r="D282" i="50" s="1"/>
  <c r="Q324" i="50"/>
  <c r="M325" i="50" s="1"/>
  <c r="K326" i="50"/>
  <c r="C284" i="50"/>
  <c r="E283" i="50"/>
  <c r="L326" i="50"/>
  <c r="O325" i="50"/>
  <c r="N325" i="50"/>
  <c r="P325" i="50"/>
  <c r="G282" i="50" l="1"/>
  <c r="B283" i="50"/>
  <c r="F282" i="50"/>
  <c r="H282" i="50" s="1"/>
  <c r="D283" i="50" s="1"/>
  <c r="Q325" i="50"/>
  <c r="M326" i="50" s="1"/>
  <c r="K327" i="50"/>
  <c r="C285" i="50"/>
  <c r="E284" i="50"/>
  <c r="L327" i="50"/>
  <c r="O326" i="50"/>
  <c r="N326" i="50"/>
  <c r="P326" i="50"/>
  <c r="G283" i="50" l="1"/>
  <c r="B284" i="50"/>
  <c r="F283" i="50"/>
  <c r="H283" i="50" s="1"/>
  <c r="D284" i="50" s="1"/>
  <c r="Q326" i="50"/>
  <c r="M327" i="50" s="1"/>
  <c r="C286" i="50"/>
  <c r="E285" i="50"/>
  <c r="L328" i="50"/>
  <c r="O327" i="50"/>
  <c r="N327" i="50"/>
  <c r="P327" i="50"/>
  <c r="K328" i="50"/>
  <c r="B285" i="50" l="1"/>
  <c r="F284" i="50"/>
  <c r="H284" i="50" s="1"/>
  <c r="D285" i="50" s="1"/>
  <c r="G284" i="50"/>
  <c r="Q327" i="50"/>
  <c r="M328" i="50" s="1"/>
  <c r="K329" i="50"/>
  <c r="C287" i="50"/>
  <c r="E286" i="50"/>
  <c r="L329" i="50"/>
  <c r="O328" i="50"/>
  <c r="N328" i="50"/>
  <c r="P328" i="50"/>
  <c r="F285" i="50" l="1"/>
  <c r="H285" i="50" s="1"/>
  <c r="D286" i="50" s="1"/>
  <c r="B286" i="50"/>
  <c r="G285" i="50"/>
  <c r="Q328" i="50"/>
  <c r="M329" i="50" s="1"/>
  <c r="C288" i="50"/>
  <c r="E287" i="50"/>
  <c r="L330" i="50"/>
  <c r="O329" i="50"/>
  <c r="N329" i="50"/>
  <c r="P329" i="50"/>
  <c r="K330" i="50"/>
  <c r="B287" i="50" l="1"/>
  <c r="F286" i="50"/>
  <c r="H286" i="50" s="1"/>
  <c r="D287" i="50" s="1"/>
  <c r="G286" i="50"/>
  <c r="Q329" i="50"/>
  <c r="M330" i="50" s="1"/>
  <c r="K331" i="50"/>
  <c r="C289" i="50"/>
  <c r="E288" i="50"/>
  <c r="L331" i="50"/>
  <c r="O330" i="50"/>
  <c r="N330" i="50"/>
  <c r="P330" i="50"/>
  <c r="F287" i="50" l="1"/>
  <c r="H287" i="50" s="1"/>
  <c r="D288" i="50" s="1"/>
  <c r="G287" i="50"/>
  <c r="B288" i="50"/>
  <c r="Q330" i="50"/>
  <c r="M331" i="50" s="1"/>
  <c r="C290" i="50"/>
  <c r="E289" i="50"/>
  <c r="L332" i="50"/>
  <c r="O331" i="50"/>
  <c r="N331" i="50"/>
  <c r="P331" i="50"/>
  <c r="K332" i="50"/>
  <c r="G288" i="50" l="1"/>
  <c r="B289" i="50"/>
  <c r="F288" i="50"/>
  <c r="H288" i="50" s="1"/>
  <c r="D289" i="50" s="1"/>
  <c r="Q331" i="50"/>
  <c r="M332" i="50" s="1"/>
  <c r="K333" i="50"/>
  <c r="C291" i="50"/>
  <c r="E290" i="50"/>
  <c r="L333" i="50"/>
  <c r="O332" i="50"/>
  <c r="N332" i="50"/>
  <c r="P332" i="50"/>
  <c r="G289" i="50" l="1"/>
  <c r="B290" i="50"/>
  <c r="F289" i="50"/>
  <c r="H289" i="50" s="1"/>
  <c r="D290" i="50" s="1"/>
  <c r="Q332" i="50"/>
  <c r="M333" i="50" s="1"/>
  <c r="C292" i="50"/>
  <c r="E291" i="50"/>
  <c r="L334" i="50"/>
  <c r="O333" i="50"/>
  <c r="N333" i="50"/>
  <c r="P333" i="50"/>
  <c r="K334" i="50"/>
  <c r="G290" i="50" l="1"/>
  <c r="B291" i="50"/>
  <c r="F290" i="50"/>
  <c r="H290" i="50" s="1"/>
  <c r="D291" i="50" s="1"/>
  <c r="Q333" i="50"/>
  <c r="M334" i="50" s="1"/>
  <c r="K335" i="50"/>
  <c r="C293" i="50"/>
  <c r="E292" i="50"/>
  <c r="L335" i="50"/>
  <c r="O334" i="50"/>
  <c r="N334" i="50"/>
  <c r="P334" i="50"/>
  <c r="Q334" i="50" l="1"/>
  <c r="M335" i="50" s="1"/>
  <c r="B292" i="50"/>
  <c r="F291" i="50"/>
  <c r="H291" i="50" s="1"/>
  <c r="D292" i="50" s="1"/>
  <c r="G291" i="50"/>
  <c r="C294" i="50"/>
  <c r="E293" i="50"/>
  <c r="L336" i="50"/>
  <c r="O335" i="50"/>
  <c r="N335" i="50"/>
  <c r="P335" i="50"/>
  <c r="K336" i="50"/>
  <c r="Q335" i="50" l="1"/>
  <c r="M336" i="50" s="1"/>
  <c r="B293" i="50"/>
  <c r="G292" i="50"/>
  <c r="F292" i="50"/>
  <c r="H292" i="50" s="1"/>
  <c r="D293" i="50" s="1"/>
  <c r="K337" i="50"/>
  <c r="C295" i="50"/>
  <c r="E294" i="50"/>
  <c r="L337" i="50"/>
  <c r="O336" i="50"/>
  <c r="N336" i="50"/>
  <c r="P336" i="50"/>
  <c r="B294" i="50" l="1"/>
  <c r="F293" i="50"/>
  <c r="H293" i="50" s="1"/>
  <c r="D294" i="50" s="1"/>
  <c r="G293" i="50"/>
  <c r="Q336" i="50"/>
  <c r="M337" i="50" s="1"/>
  <c r="C296" i="50"/>
  <c r="E295" i="50"/>
  <c r="L338" i="50"/>
  <c r="O337" i="50"/>
  <c r="N337" i="50"/>
  <c r="P337" i="50"/>
  <c r="K338" i="50"/>
  <c r="Q337" i="50" l="1"/>
  <c r="M338" i="50" s="1"/>
  <c r="F294" i="50"/>
  <c r="H294" i="50" s="1"/>
  <c r="D295" i="50" s="1"/>
  <c r="G294" i="50"/>
  <c r="B295" i="50"/>
  <c r="K339" i="50"/>
  <c r="C297" i="50"/>
  <c r="E296" i="50"/>
  <c r="L339" i="50"/>
  <c r="O338" i="50"/>
  <c r="N338" i="50"/>
  <c r="P338" i="50"/>
  <c r="G295" i="50" l="1"/>
  <c r="B296" i="50"/>
  <c r="F295" i="50"/>
  <c r="H295" i="50" s="1"/>
  <c r="D296" i="50" s="1"/>
  <c r="Q338" i="50"/>
  <c r="M339" i="50" s="1"/>
  <c r="C298" i="50"/>
  <c r="E297" i="50"/>
  <c r="L340" i="50"/>
  <c r="O339" i="50"/>
  <c r="N339" i="50"/>
  <c r="P339" i="50"/>
  <c r="K340" i="50"/>
  <c r="F296" i="50" l="1"/>
  <c r="H296" i="50" s="1"/>
  <c r="D297" i="50" s="1"/>
  <c r="B297" i="50"/>
  <c r="G296" i="50"/>
  <c r="Q339" i="50"/>
  <c r="M340" i="50" s="1"/>
  <c r="K341" i="50"/>
  <c r="C299" i="50"/>
  <c r="E298" i="50"/>
  <c r="L341" i="50"/>
  <c r="O340" i="50"/>
  <c r="N340" i="50"/>
  <c r="P340" i="50"/>
  <c r="F297" i="50" l="1"/>
  <c r="H297" i="50" s="1"/>
  <c r="D298" i="50" s="1"/>
  <c r="B298" i="50"/>
  <c r="G297" i="50"/>
  <c r="Q340" i="50"/>
  <c r="M341" i="50" s="1"/>
  <c r="C300" i="50"/>
  <c r="E299" i="50"/>
  <c r="L342" i="50"/>
  <c r="O341" i="50"/>
  <c r="N341" i="50"/>
  <c r="P341" i="50"/>
  <c r="K342" i="50"/>
  <c r="G298" i="50" l="1"/>
  <c r="B299" i="50"/>
  <c r="F298" i="50"/>
  <c r="H298" i="50" s="1"/>
  <c r="D299" i="50" s="1"/>
  <c r="Q341" i="50"/>
  <c r="M342" i="50" s="1"/>
  <c r="K343" i="50"/>
  <c r="C301" i="50"/>
  <c r="E300" i="50"/>
  <c r="L343" i="50"/>
  <c r="O342" i="50"/>
  <c r="N342" i="50"/>
  <c r="P342" i="50"/>
  <c r="B300" i="50" l="1"/>
  <c r="G299" i="50"/>
  <c r="F299" i="50"/>
  <c r="H299" i="50" s="1"/>
  <c r="D300" i="50" s="1"/>
  <c r="Q342" i="50"/>
  <c r="M343" i="50" s="1"/>
  <c r="C302" i="50"/>
  <c r="E301" i="50"/>
  <c r="L344" i="50"/>
  <c r="O343" i="50"/>
  <c r="N343" i="50"/>
  <c r="P343" i="50"/>
  <c r="K344" i="50"/>
  <c r="G300" i="50" l="1"/>
  <c r="B301" i="50"/>
  <c r="F300" i="50"/>
  <c r="H300" i="50" s="1"/>
  <c r="D301" i="50" s="1"/>
  <c r="Q343" i="50"/>
  <c r="M344" i="50" s="1"/>
  <c r="K345" i="50"/>
  <c r="C303" i="50"/>
  <c r="E302" i="50"/>
  <c r="L345" i="50"/>
  <c r="O344" i="50"/>
  <c r="N344" i="50"/>
  <c r="P344" i="50"/>
  <c r="B302" i="50" l="1"/>
  <c r="F301" i="50"/>
  <c r="H301" i="50" s="1"/>
  <c r="D302" i="50" s="1"/>
  <c r="G301" i="50"/>
  <c r="Q344" i="50"/>
  <c r="M345" i="50" s="1"/>
  <c r="C304" i="50"/>
  <c r="E303" i="50"/>
  <c r="L346" i="50"/>
  <c r="O345" i="50"/>
  <c r="N345" i="50"/>
  <c r="P345" i="50"/>
  <c r="K346" i="50"/>
  <c r="G302" i="50" l="1"/>
  <c r="F302" i="50"/>
  <c r="H302" i="50" s="1"/>
  <c r="D303" i="50" s="1"/>
  <c r="B303" i="50"/>
  <c r="Q345" i="50"/>
  <c r="M346" i="50" s="1"/>
  <c r="K347" i="50"/>
  <c r="C305" i="50"/>
  <c r="E304" i="50"/>
  <c r="L347" i="50"/>
  <c r="O346" i="50"/>
  <c r="N346" i="50"/>
  <c r="P346" i="50"/>
  <c r="F303" i="50" l="1"/>
  <c r="H303" i="50" s="1"/>
  <c r="D304" i="50" s="1"/>
  <c r="B304" i="50"/>
  <c r="G303" i="50"/>
  <c r="Q346" i="50"/>
  <c r="M347" i="50" s="1"/>
  <c r="C306" i="50"/>
  <c r="E305" i="50"/>
  <c r="L348" i="50"/>
  <c r="O347" i="50"/>
  <c r="N347" i="50"/>
  <c r="P347" i="50"/>
  <c r="K348" i="50"/>
  <c r="G304" i="50" l="1"/>
  <c r="F304" i="50"/>
  <c r="H304" i="50" s="1"/>
  <c r="D305" i="50" s="1"/>
  <c r="B305" i="50"/>
  <c r="Q347" i="50"/>
  <c r="M348" i="50" s="1"/>
  <c r="K349" i="50"/>
  <c r="C307" i="50"/>
  <c r="E306" i="50"/>
  <c r="L349" i="50"/>
  <c r="O348" i="50"/>
  <c r="N348" i="50"/>
  <c r="P348" i="50"/>
  <c r="B306" i="50" l="1"/>
  <c r="F305" i="50"/>
  <c r="H305" i="50" s="1"/>
  <c r="D306" i="50" s="1"/>
  <c r="G305" i="50"/>
  <c r="Q348" i="50"/>
  <c r="M349" i="50" s="1"/>
  <c r="C308" i="50"/>
  <c r="E307" i="50"/>
  <c r="L350" i="50"/>
  <c r="O349" i="50"/>
  <c r="N349" i="50"/>
  <c r="P349" i="50"/>
  <c r="K350" i="50"/>
  <c r="F306" i="50" l="1"/>
  <c r="H306" i="50" s="1"/>
  <c r="D307" i="50" s="1"/>
  <c r="G306" i="50"/>
  <c r="B307" i="50"/>
  <c r="Q349" i="50"/>
  <c r="M350" i="50" s="1"/>
  <c r="K351" i="50"/>
  <c r="C309" i="50"/>
  <c r="E308" i="50"/>
  <c r="L351" i="50"/>
  <c r="O350" i="50"/>
  <c r="N350" i="50"/>
  <c r="P350" i="50"/>
  <c r="B308" i="50" l="1"/>
  <c r="F307" i="50"/>
  <c r="H307" i="50" s="1"/>
  <c r="D308" i="50" s="1"/>
  <c r="G307" i="50"/>
  <c r="Q350" i="50"/>
  <c r="M351" i="50" s="1"/>
  <c r="C310" i="50"/>
  <c r="E309" i="50"/>
  <c r="L352" i="50"/>
  <c r="O351" i="50"/>
  <c r="N351" i="50"/>
  <c r="P351" i="50"/>
  <c r="K352" i="50"/>
  <c r="G308" i="50" l="1"/>
  <c r="F308" i="50"/>
  <c r="H308" i="50" s="1"/>
  <c r="D309" i="50" s="1"/>
  <c r="B309" i="50"/>
  <c r="Q351" i="50"/>
  <c r="M352" i="50" s="1"/>
  <c r="K353" i="50"/>
  <c r="C311" i="50"/>
  <c r="E310" i="50"/>
  <c r="O352" i="50"/>
  <c r="N352" i="50"/>
  <c r="P352" i="50"/>
  <c r="Q352" i="50" l="1"/>
  <c r="L353" i="50" s="1"/>
  <c r="B310" i="50"/>
  <c r="F309" i="50"/>
  <c r="H309" i="50" s="1"/>
  <c r="D310" i="50" s="1"/>
  <c r="G309" i="50"/>
  <c r="C312" i="50"/>
  <c r="E311" i="50"/>
  <c r="J353" i="50" l="1"/>
  <c r="G310" i="50"/>
  <c r="B311" i="50"/>
  <c r="F310" i="50"/>
  <c r="H310" i="50" s="1"/>
  <c r="D311" i="50" s="1"/>
  <c r="C313" i="50"/>
  <c r="E312" i="50"/>
  <c r="P353" i="50"/>
  <c r="M353" i="50"/>
  <c r="N353" i="50"/>
  <c r="O353" i="50"/>
  <c r="K354" i="50"/>
  <c r="B312" i="50" l="1"/>
  <c r="F311" i="50"/>
  <c r="H311" i="50" s="1"/>
  <c r="D312" i="50" s="1"/>
  <c r="G311" i="50"/>
  <c r="Q353" i="50"/>
  <c r="L354" i="50" s="1"/>
  <c r="C314" i="50"/>
  <c r="E313" i="50"/>
  <c r="G312" i="50" l="1"/>
  <c r="B313" i="50"/>
  <c r="F312" i="50"/>
  <c r="H312" i="50" s="1"/>
  <c r="D313" i="50" s="1"/>
  <c r="J354" i="50"/>
  <c r="C315" i="50"/>
  <c r="E314" i="50"/>
  <c r="P354" i="50"/>
  <c r="M354" i="50"/>
  <c r="N354" i="50"/>
  <c r="O354" i="50"/>
  <c r="B314" i="50" l="1"/>
  <c r="F313" i="50"/>
  <c r="H313" i="50" s="1"/>
  <c r="D314" i="50" s="1"/>
  <c r="G313" i="50"/>
  <c r="Q354" i="50"/>
  <c r="L355" i="50" s="1"/>
  <c r="C316" i="50"/>
  <c r="E315" i="50"/>
  <c r="F314" i="50" l="1"/>
  <c r="H314" i="50" s="1"/>
  <c r="D315" i="50" s="1"/>
  <c r="B315" i="50"/>
  <c r="G314" i="50"/>
  <c r="J355" i="50"/>
  <c r="C317" i="50"/>
  <c r="E316" i="50"/>
  <c r="N355" i="50"/>
  <c r="M355" i="50"/>
  <c r="K355" i="50"/>
  <c r="P355" i="50" s="1"/>
  <c r="F315" i="50" l="1"/>
  <c r="H315" i="50" s="1"/>
  <c r="D316" i="50" s="1"/>
  <c r="G315" i="50"/>
  <c r="B316" i="50"/>
  <c r="O355" i="50"/>
  <c r="Q355" i="50" s="1"/>
  <c r="J356" i="50" s="1"/>
  <c r="C318" i="50"/>
  <c r="E317" i="50"/>
  <c r="B317" i="50" l="1"/>
  <c r="F316" i="50"/>
  <c r="H316" i="50" s="1"/>
  <c r="D317" i="50" s="1"/>
  <c r="G316" i="50"/>
  <c r="C319" i="50"/>
  <c r="E318" i="50"/>
  <c r="L356" i="50"/>
  <c r="K356" i="50" s="1"/>
  <c r="G317" i="50" l="1"/>
  <c r="F317" i="50"/>
  <c r="H317" i="50" s="1"/>
  <c r="D318" i="50" s="1"/>
  <c r="B318" i="50"/>
  <c r="C320" i="50"/>
  <c r="E319" i="50"/>
  <c r="O356" i="50"/>
  <c r="P356" i="50"/>
  <c r="M356" i="50"/>
  <c r="N356" i="50"/>
  <c r="F318" i="50" l="1"/>
  <c r="H318" i="50" s="1"/>
  <c r="D319" i="50" s="1"/>
  <c r="B319" i="50"/>
  <c r="G318" i="50"/>
  <c r="Q356" i="50"/>
  <c r="L357" i="50" s="1"/>
  <c r="N357" i="50" s="1"/>
  <c r="C321" i="50"/>
  <c r="E320" i="50"/>
  <c r="G319" i="50" l="1"/>
  <c r="B320" i="50"/>
  <c r="F319" i="50"/>
  <c r="H319" i="50" s="1"/>
  <c r="D320" i="50" s="1"/>
  <c r="M357" i="50"/>
  <c r="J357" i="50"/>
  <c r="K357" i="50"/>
  <c r="O357" i="50" s="1"/>
  <c r="C322" i="50"/>
  <c r="E321" i="50"/>
  <c r="P357" i="50" l="1"/>
  <c r="B321" i="50"/>
  <c r="F320" i="50"/>
  <c r="H320" i="50" s="1"/>
  <c r="D321" i="50" s="1"/>
  <c r="G320" i="50"/>
  <c r="Q357" i="50"/>
  <c r="J358" i="50" s="1"/>
  <c r="C323" i="50"/>
  <c r="E322" i="50"/>
  <c r="F321" i="50" l="1"/>
  <c r="H321" i="50" s="1"/>
  <c r="D322" i="50" s="1"/>
  <c r="G321" i="50"/>
  <c r="B322" i="50"/>
  <c r="L358" i="50"/>
  <c r="K358" i="50" s="1"/>
  <c r="C324" i="50"/>
  <c r="E323" i="50"/>
  <c r="F322" i="50" l="1"/>
  <c r="H322" i="50" s="1"/>
  <c r="D323" i="50" s="1"/>
  <c r="G322" i="50"/>
  <c r="B323" i="50"/>
  <c r="M358" i="50"/>
  <c r="O358" i="50"/>
  <c r="N358" i="50"/>
  <c r="P358" i="50"/>
  <c r="C325" i="50"/>
  <c r="E324" i="50"/>
  <c r="F323" i="50" l="1"/>
  <c r="H323" i="50" s="1"/>
  <c r="D324" i="50" s="1"/>
  <c r="G323" i="50"/>
  <c r="B324" i="50"/>
  <c r="Q358" i="50"/>
  <c r="L359" i="50" s="1"/>
  <c r="K359" i="50" s="1"/>
  <c r="C326" i="50"/>
  <c r="E325" i="50"/>
  <c r="B325" i="50" l="1"/>
  <c r="F324" i="50"/>
  <c r="H324" i="50" s="1"/>
  <c r="D325" i="50" s="1"/>
  <c r="G324" i="50"/>
  <c r="P359" i="50"/>
  <c r="O359" i="50"/>
  <c r="N359" i="50"/>
  <c r="J359" i="50"/>
  <c r="M359" i="50"/>
  <c r="C327" i="50"/>
  <c r="E326" i="50"/>
  <c r="Q359" i="50" l="1"/>
  <c r="J360" i="50" s="1"/>
  <c r="F325" i="50"/>
  <c r="H325" i="50" s="1"/>
  <c r="D326" i="50" s="1"/>
  <c r="B326" i="50"/>
  <c r="G325" i="50"/>
  <c r="C328" i="50"/>
  <c r="E327" i="50"/>
  <c r="L360" i="50" l="1"/>
  <c r="N360" i="50" s="1"/>
  <c r="F326" i="50"/>
  <c r="H326" i="50" s="1"/>
  <c r="D327" i="50" s="1"/>
  <c r="B327" i="50"/>
  <c r="G326" i="50"/>
  <c r="C329" i="50"/>
  <c r="E328" i="50"/>
  <c r="K360" i="50" l="1"/>
  <c r="P360" i="50" s="1"/>
  <c r="M360" i="50"/>
  <c r="B328" i="50"/>
  <c r="F327" i="50"/>
  <c r="H327" i="50" s="1"/>
  <c r="D328" i="50" s="1"/>
  <c r="G327" i="50"/>
  <c r="C330" i="50"/>
  <c r="E329" i="50"/>
  <c r="O360" i="50" l="1"/>
  <c r="Q360" i="50" s="1"/>
  <c r="L361" i="50" s="1"/>
  <c r="M361" i="50" s="1"/>
  <c r="F328" i="50"/>
  <c r="H328" i="50" s="1"/>
  <c r="D329" i="50" s="1"/>
  <c r="B329" i="50"/>
  <c r="G328" i="50"/>
  <c r="C331" i="50"/>
  <c r="E330" i="50"/>
  <c r="K361" i="50" l="1"/>
  <c r="P361" i="50" s="1"/>
  <c r="J361" i="50"/>
  <c r="N361" i="50"/>
  <c r="G329" i="50"/>
  <c r="B330" i="50"/>
  <c r="F329" i="50"/>
  <c r="H329" i="50" s="1"/>
  <c r="D330" i="50" s="1"/>
  <c r="C332" i="50"/>
  <c r="E331" i="50"/>
  <c r="O361" i="50" l="1"/>
  <c r="Q361" i="50" s="1"/>
  <c r="J362" i="50" s="1"/>
  <c r="G330" i="50"/>
  <c r="F330" i="50"/>
  <c r="H330" i="50" s="1"/>
  <c r="D331" i="50" s="1"/>
  <c r="B331" i="50"/>
  <c r="C333" i="50"/>
  <c r="E332" i="50"/>
  <c r="L362" i="50" l="1"/>
  <c r="K362" i="50" s="1"/>
  <c r="O362" i="50" s="1"/>
  <c r="F331" i="50"/>
  <c r="H331" i="50" s="1"/>
  <c r="D332" i="50" s="1"/>
  <c r="B332" i="50"/>
  <c r="G331" i="50"/>
  <c r="C334" i="50"/>
  <c r="E333" i="50"/>
  <c r="N362" i="50" l="1"/>
  <c r="M362" i="50"/>
  <c r="Q362" i="50" s="1"/>
  <c r="G332" i="50"/>
  <c r="B333" i="50"/>
  <c r="F332" i="50"/>
  <c r="H332" i="50" s="1"/>
  <c r="D333" i="50" s="1"/>
  <c r="P362" i="50"/>
  <c r="C335" i="50"/>
  <c r="E334" i="50"/>
  <c r="G333" i="50" l="1"/>
  <c r="F333" i="50"/>
  <c r="H333" i="50" s="1"/>
  <c r="D334" i="50" s="1"/>
  <c r="B334" i="50"/>
  <c r="L363" i="50"/>
  <c r="J363" i="50"/>
  <c r="C336" i="50"/>
  <c r="E335" i="50"/>
  <c r="G334" i="50" l="1"/>
  <c r="F334" i="50"/>
  <c r="H334" i="50" s="1"/>
  <c r="D335" i="50" s="1"/>
  <c r="B335" i="50"/>
  <c r="K363" i="50"/>
  <c r="O363" i="50" s="1"/>
  <c r="N363" i="50"/>
  <c r="M363" i="50"/>
  <c r="C337" i="50"/>
  <c r="E336" i="50"/>
  <c r="F335" i="50" l="1"/>
  <c r="H335" i="50" s="1"/>
  <c r="D336" i="50" s="1"/>
  <c r="G335" i="50"/>
  <c r="B336" i="50"/>
  <c r="Q363" i="50"/>
  <c r="P363" i="50"/>
  <c r="C338" i="50"/>
  <c r="E337" i="50"/>
  <c r="B337" i="50" l="1"/>
  <c r="G336" i="50"/>
  <c r="F336" i="50"/>
  <c r="H336" i="50" s="1"/>
  <c r="D337" i="50" s="1"/>
  <c r="L364" i="50"/>
  <c r="J364" i="50"/>
  <c r="C339" i="50"/>
  <c r="E338" i="50"/>
  <c r="G337" i="50" l="1"/>
  <c r="B338" i="50"/>
  <c r="F337" i="50"/>
  <c r="H337" i="50" s="1"/>
  <c r="D338" i="50" s="1"/>
  <c r="K364" i="50"/>
  <c r="P364" i="50" s="1"/>
  <c r="M364" i="50"/>
  <c r="N364" i="50"/>
  <c r="C340" i="50"/>
  <c r="E339" i="50"/>
  <c r="O364" i="50" l="1"/>
  <c r="Q364" i="50" s="1"/>
  <c r="L365" i="50" s="1"/>
  <c r="K365" i="50" s="1"/>
  <c r="B339" i="50"/>
  <c r="G338" i="50"/>
  <c r="F338" i="50"/>
  <c r="H338" i="50" s="1"/>
  <c r="D339" i="50" s="1"/>
  <c r="C341" i="50"/>
  <c r="E340" i="50"/>
  <c r="J365" i="50" l="1"/>
  <c r="B340" i="50"/>
  <c r="G339" i="50"/>
  <c r="F339" i="50"/>
  <c r="H339" i="50" s="1"/>
  <c r="D340" i="50" s="1"/>
  <c r="P365" i="50"/>
  <c r="O365" i="50"/>
  <c r="N365" i="50"/>
  <c r="M365" i="50"/>
  <c r="C342" i="50"/>
  <c r="E341" i="50"/>
  <c r="Q365" i="50" l="1"/>
  <c r="L366" i="50" s="1"/>
  <c r="B341" i="50"/>
  <c r="G340" i="50"/>
  <c r="F340" i="50"/>
  <c r="H340" i="50" s="1"/>
  <c r="D341" i="50" s="1"/>
  <c r="C343" i="50"/>
  <c r="E342" i="50"/>
  <c r="J366" i="50" l="1"/>
  <c r="F341" i="50"/>
  <c r="H341" i="50" s="1"/>
  <c r="D342" i="50" s="1"/>
  <c r="B342" i="50"/>
  <c r="G341" i="50"/>
  <c r="M366" i="50"/>
  <c r="N366" i="50"/>
  <c r="K366" i="50"/>
  <c r="O366" i="50" s="1"/>
  <c r="C344" i="50"/>
  <c r="E343" i="50"/>
  <c r="Q366" i="50" l="1"/>
  <c r="J367" i="50" s="1"/>
  <c r="P366" i="50"/>
  <c r="B343" i="50"/>
  <c r="F342" i="50"/>
  <c r="H342" i="50" s="1"/>
  <c r="D343" i="50" s="1"/>
  <c r="G342" i="50"/>
  <c r="C345" i="50"/>
  <c r="E344" i="50"/>
  <c r="L367" i="50" l="1"/>
  <c r="B344" i="50"/>
  <c r="F343" i="50"/>
  <c r="H343" i="50" s="1"/>
  <c r="D344" i="50" s="1"/>
  <c r="G343" i="50"/>
  <c r="C346" i="50"/>
  <c r="E345" i="50"/>
  <c r="M367" i="50" l="1"/>
  <c r="N367" i="50"/>
  <c r="K367" i="50"/>
  <c r="P367" i="50" s="1"/>
  <c r="B345" i="50"/>
  <c r="F344" i="50"/>
  <c r="H344" i="50" s="1"/>
  <c r="D345" i="50" s="1"/>
  <c r="G344" i="50"/>
  <c r="C347" i="50"/>
  <c r="E346" i="50"/>
  <c r="O367" i="50" l="1"/>
  <c r="Q367" i="50" s="1"/>
  <c r="J368" i="50" s="1"/>
  <c r="F345" i="50"/>
  <c r="H345" i="50" s="1"/>
  <c r="D346" i="50" s="1"/>
  <c r="B346" i="50"/>
  <c r="G345" i="50"/>
  <c r="C348" i="50"/>
  <c r="E347" i="50"/>
  <c r="L368" i="50" l="1"/>
  <c r="N368" i="50" s="1"/>
  <c r="B347" i="50"/>
  <c r="F346" i="50"/>
  <c r="H346" i="50" s="1"/>
  <c r="D347" i="50" s="1"/>
  <c r="G346" i="50"/>
  <c r="C349" i="50"/>
  <c r="E348" i="50"/>
  <c r="K368" i="50" l="1"/>
  <c r="M368" i="50"/>
  <c r="B348" i="50"/>
  <c r="G347" i="50"/>
  <c r="F347" i="50"/>
  <c r="H347" i="50" s="1"/>
  <c r="D348" i="50" s="1"/>
  <c r="C350" i="50"/>
  <c r="E349" i="50"/>
  <c r="O368" i="50" l="1"/>
  <c r="Q368" i="50" s="1"/>
  <c r="L369" i="50" s="1"/>
  <c r="N369" i="50" s="1"/>
  <c r="P368" i="50"/>
  <c r="B349" i="50"/>
  <c r="F348" i="50"/>
  <c r="H348" i="50" s="1"/>
  <c r="D349" i="50" s="1"/>
  <c r="G348" i="50"/>
  <c r="C351" i="50"/>
  <c r="E350" i="50"/>
  <c r="M369" i="50" l="1"/>
  <c r="J369" i="50"/>
  <c r="K369" i="50"/>
  <c r="O369" i="50" s="1"/>
  <c r="B350" i="50"/>
  <c r="G349" i="50"/>
  <c r="F349" i="50"/>
  <c r="H349" i="50" s="1"/>
  <c r="D350" i="50" s="1"/>
  <c r="C352" i="50"/>
  <c r="E351" i="50"/>
  <c r="P369" i="50" l="1"/>
  <c r="Q369" i="50"/>
  <c r="L370" i="50" s="1"/>
  <c r="M370" i="50" s="1"/>
  <c r="F350" i="50"/>
  <c r="H350" i="50" s="1"/>
  <c r="D351" i="50" s="1"/>
  <c r="G350" i="50"/>
  <c r="B351" i="50"/>
  <c r="E352" i="50"/>
  <c r="N370" i="50" l="1"/>
  <c r="K370" i="50"/>
  <c r="O370" i="50" s="1"/>
  <c r="Q370" i="50" s="1"/>
  <c r="L371" i="50" s="1"/>
  <c r="J370" i="50"/>
  <c r="B352" i="50"/>
  <c r="F351" i="50"/>
  <c r="H351" i="50" s="1"/>
  <c r="D352" i="50" s="1"/>
  <c r="G351" i="50"/>
  <c r="P370" i="50" l="1"/>
  <c r="J371" i="50"/>
  <c r="B353" i="50"/>
  <c r="G352" i="50"/>
  <c r="F352" i="50"/>
  <c r="H352" i="50" s="1"/>
  <c r="C353" i="50" s="1"/>
  <c r="N371" i="50"/>
  <c r="M371" i="50"/>
  <c r="K371" i="50"/>
  <c r="P371" i="50" s="1"/>
  <c r="F353" i="50" l="1"/>
  <c r="O371" i="50"/>
  <c r="Q371" i="50" s="1"/>
  <c r="E353" i="50"/>
  <c r="B354" i="50"/>
  <c r="D353" i="50"/>
  <c r="G353" i="50"/>
  <c r="A353" i="50"/>
  <c r="H353" i="50" l="1"/>
  <c r="A354" i="50" s="1"/>
  <c r="L372" i="50"/>
  <c r="K372" i="50" s="1"/>
  <c r="J372" i="50"/>
  <c r="C354" i="50" l="1"/>
  <c r="F354" i="50" s="1"/>
  <c r="P372" i="50"/>
  <c r="N372" i="50"/>
  <c r="O372" i="50"/>
  <c r="M372" i="50"/>
  <c r="E354" i="50" l="1"/>
  <c r="G354" i="50"/>
  <c r="D354" i="50"/>
  <c r="H354" i="50" s="1"/>
  <c r="C355" i="50" s="1"/>
  <c r="E355" i="50" s="1"/>
  <c r="Q372" i="50"/>
  <c r="B355" i="50" l="1"/>
  <c r="G355" i="50" s="1"/>
  <c r="D355" i="50"/>
  <c r="A355" i="50"/>
  <c r="L373" i="50"/>
  <c r="J373" i="50"/>
  <c r="F355" i="50" l="1"/>
  <c r="H355" i="50" s="1"/>
  <c r="C356" i="50" s="1"/>
  <c r="B356" i="50" s="1"/>
  <c r="F356" i="50" s="1"/>
  <c r="K373" i="50"/>
  <c r="P373" i="50" s="1"/>
  <c r="M373" i="50"/>
  <c r="N373" i="50"/>
  <c r="D356" i="50" l="1"/>
  <c r="H356" i="50" s="1"/>
  <c r="A357" i="50" s="1"/>
  <c r="E356" i="50"/>
  <c r="A356" i="50"/>
  <c r="O373" i="50"/>
  <c r="Q373" i="50" s="1"/>
  <c r="L374" i="50" s="1"/>
  <c r="N374" i="50" s="1"/>
  <c r="G356" i="50"/>
  <c r="K374" i="50" l="1"/>
  <c r="P374" i="50" s="1"/>
  <c r="M374" i="50"/>
  <c r="J374" i="50"/>
  <c r="C357" i="50"/>
  <c r="B357" i="50" s="1"/>
  <c r="F357" i="50" l="1"/>
  <c r="O374" i="50"/>
  <c r="Q374" i="50" s="1"/>
  <c r="E357" i="50"/>
  <c r="G357" i="50"/>
  <c r="D357" i="50"/>
  <c r="H357" i="50" l="1"/>
  <c r="A358" i="50" s="1"/>
  <c r="J375" i="50"/>
  <c r="L375" i="50"/>
  <c r="C358" i="50" l="1"/>
  <c r="E358" i="50" s="1"/>
  <c r="M375" i="50"/>
  <c r="N375" i="50"/>
  <c r="K375" i="50"/>
  <c r="P375" i="50" s="1"/>
  <c r="D358" i="50" l="1"/>
  <c r="B358" i="50"/>
  <c r="F358" i="50" s="1"/>
  <c r="O375" i="50"/>
  <c r="Q375" i="50" s="1"/>
  <c r="H358" i="50" l="1"/>
  <c r="A359" i="50" s="1"/>
  <c r="G358" i="50"/>
  <c r="J376" i="50"/>
  <c r="L376" i="50"/>
  <c r="C359" i="50" l="1"/>
  <c r="B359" i="50" s="1"/>
  <c r="M376" i="50"/>
  <c r="N376" i="50"/>
  <c r="K376" i="50"/>
  <c r="P376" i="50" s="1"/>
  <c r="F359" i="50" l="1"/>
  <c r="D359" i="50"/>
  <c r="G359" i="50"/>
  <c r="E359" i="50"/>
  <c r="O376" i="50"/>
  <c r="Q376" i="50" s="1"/>
  <c r="H359" i="50" l="1"/>
  <c r="A360" i="50" s="1"/>
  <c r="J377" i="50"/>
  <c r="L377" i="50"/>
  <c r="C360" i="50" l="1"/>
  <c r="E360" i="50" s="1"/>
  <c r="M377" i="50"/>
  <c r="N377" i="50"/>
  <c r="K377" i="50"/>
  <c r="P377" i="50" s="1"/>
  <c r="B360" i="50" l="1"/>
  <c r="G360" i="50" s="1"/>
  <c r="D360" i="50"/>
  <c r="O377" i="50"/>
  <c r="Q377" i="50" s="1"/>
  <c r="F360" i="50" l="1"/>
  <c r="H360" i="50" s="1"/>
  <c r="A361" i="50" s="1"/>
  <c r="L378" i="50"/>
  <c r="J378" i="50"/>
  <c r="C361" i="50" l="1"/>
  <c r="E361" i="50" s="1"/>
  <c r="N378" i="50"/>
  <c r="M378" i="50"/>
  <c r="K378" i="50"/>
  <c r="P378" i="50" s="1"/>
  <c r="B361" i="50" l="1"/>
  <c r="F361" i="50" s="1"/>
  <c r="D361" i="50"/>
  <c r="O378" i="50"/>
  <c r="Q378" i="50" s="1"/>
  <c r="G361" i="50" l="1"/>
  <c r="H361" i="50"/>
  <c r="C362" i="50" s="1"/>
  <c r="L379" i="50"/>
  <c r="J379" i="50"/>
  <c r="E362" i="50" l="1"/>
  <c r="B362" i="50"/>
  <c r="G362" i="50" s="1"/>
  <c r="D362" i="50"/>
  <c r="A362" i="50"/>
  <c r="N379" i="50"/>
  <c r="M379" i="50"/>
  <c r="K379" i="50"/>
  <c r="O379" i="50" s="1"/>
  <c r="F362" i="50" l="1"/>
  <c r="H362" i="50" s="1"/>
  <c r="A363" i="50" s="1"/>
  <c r="Q379" i="50"/>
  <c r="L380" i="50" s="1"/>
  <c r="P379" i="50"/>
  <c r="C363" i="50" l="1"/>
  <c r="E363" i="50" s="1"/>
  <c r="J380" i="50"/>
  <c r="M380" i="50"/>
  <c r="N380" i="50"/>
  <c r="K380" i="50"/>
  <c r="P380" i="50" s="1"/>
  <c r="D363" i="50" l="1"/>
  <c r="B363" i="50"/>
  <c r="G363" i="50" s="1"/>
  <c r="O380" i="50"/>
  <c r="Q380" i="50" s="1"/>
  <c r="F363" i="50" l="1"/>
  <c r="H363" i="50" s="1"/>
  <c r="A364" i="50" s="1"/>
  <c r="J381" i="50"/>
  <c r="L381" i="50"/>
  <c r="C364" i="50" l="1"/>
  <c r="B364" i="50" s="1"/>
  <c r="F364" i="50" s="1"/>
  <c r="M381" i="50"/>
  <c r="N381" i="50"/>
  <c r="K381" i="50"/>
  <c r="O381" i="50" s="1"/>
  <c r="G364" i="50" l="1"/>
  <c r="E364" i="50"/>
  <c r="D364" i="50"/>
  <c r="H364" i="50" s="1"/>
  <c r="A365" i="50" s="1"/>
  <c r="P381" i="50"/>
  <c r="Q381" i="50"/>
  <c r="C365" i="50" l="1"/>
  <c r="B365" i="50" s="1"/>
  <c r="F365" i="50" s="1"/>
  <c r="L382" i="50"/>
  <c r="J382" i="50"/>
  <c r="D365" i="50" l="1"/>
  <c r="H365" i="50" s="1"/>
  <c r="A366" i="50" s="1"/>
  <c r="E365" i="50"/>
  <c r="G365" i="50"/>
  <c r="M382" i="50"/>
  <c r="N382" i="50"/>
  <c r="K382" i="50"/>
  <c r="P382" i="50" s="1"/>
  <c r="O382" i="50" l="1"/>
  <c r="Q382" i="50" s="1"/>
  <c r="C366" i="50"/>
  <c r="B366" i="50" s="1"/>
  <c r="D366" i="50" l="1"/>
  <c r="E366" i="50"/>
  <c r="L383" i="50"/>
  <c r="J383" i="50"/>
  <c r="F366" i="50"/>
  <c r="G366" i="50"/>
  <c r="H366" i="50" l="1"/>
  <c r="A367" i="50" s="1"/>
  <c r="N383" i="50"/>
  <c r="M383" i="50"/>
  <c r="K383" i="50"/>
  <c r="P383" i="50" s="1"/>
  <c r="C367" i="50" l="1"/>
  <c r="D367" i="50" s="1"/>
  <c r="O383" i="50"/>
  <c r="Q383" i="50" s="1"/>
  <c r="B367" i="50" l="1"/>
  <c r="F367" i="50" s="1"/>
  <c r="H367" i="50" s="1"/>
  <c r="A368" i="50" s="1"/>
  <c r="E367" i="50"/>
  <c r="L384" i="50"/>
  <c r="J384" i="50"/>
  <c r="G367" i="50" l="1"/>
  <c r="N384" i="50"/>
  <c r="M384" i="50"/>
  <c r="K384" i="50"/>
  <c r="P384" i="50" s="1"/>
  <c r="C368" i="50"/>
  <c r="B368" i="50" s="1"/>
  <c r="O384" i="50" l="1"/>
  <c r="Q384" i="50" s="1"/>
  <c r="E368" i="50"/>
  <c r="D368" i="50"/>
  <c r="F368" i="50"/>
  <c r="G368" i="50"/>
  <c r="H368" i="50" l="1"/>
  <c r="C369" i="50" s="1"/>
  <c r="L385" i="50"/>
  <c r="J385" i="50"/>
  <c r="A369" i="50" l="1"/>
  <c r="N385" i="50"/>
  <c r="M385" i="50"/>
  <c r="K385" i="50"/>
  <c r="O385" i="50" s="1"/>
  <c r="B369" i="50"/>
  <c r="G369" i="50" s="1"/>
  <c r="D369" i="50"/>
  <c r="E369" i="50"/>
  <c r="F369" i="50" l="1"/>
  <c r="H369" i="50" s="1"/>
  <c r="A370" i="50" s="1"/>
  <c r="Q385" i="50"/>
  <c r="P385" i="50"/>
  <c r="L386" i="50" l="1"/>
  <c r="J386" i="50"/>
  <c r="C370" i="50"/>
  <c r="B370" i="50" s="1"/>
  <c r="F370" i="50" s="1"/>
  <c r="N386" i="50" l="1"/>
  <c r="M386" i="50"/>
  <c r="K386" i="50"/>
  <c r="P386" i="50" s="1"/>
  <c r="E370" i="50"/>
  <c r="D370" i="50"/>
  <c r="H370" i="50" s="1"/>
  <c r="G370" i="50"/>
  <c r="O386" i="50" l="1"/>
  <c r="Q386" i="50" s="1"/>
  <c r="C371" i="50"/>
  <c r="A371" i="50"/>
  <c r="L387" i="50" l="1"/>
  <c r="J387" i="50"/>
  <c r="B371" i="50"/>
  <c r="G371" i="50" s="1"/>
  <c r="D371" i="50"/>
  <c r="E371" i="50"/>
  <c r="N387" i="50" l="1"/>
  <c r="M387" i="50"/>
  <c r="K387" i="50"/>
  <c r="O387" i="50" s="1"/>
  <c r="F371" i="50"/>
  <c r="H371" i="50" s="1"/>
  <c r="Q387" i="50" l="1"/>
  <c r="J388" i="50" s="1"/>
  <c r="P387" i="50"/>
  <c r="A372" i="50"/>
  <c r="C372" i="50"/>
  <c r="L388" i="50" l="1"/>
  <c r="K388" i="50" s="1"/>
  <c r="E372" i="50"/>
  <c r="B372" i="50"/>
  <c r="G372" i="50" s="1"/>
  <c r="D372" i="50"/>
  <c r="F372" i="50" l="1"/>
  <c r="H372" i="50" s="1"/>
  <c r="C373" i="50" s="1"/>
  <c r="O388" i="50"/>
  <c r="M388" i="50"/>
  <c r="N388" i="50"/>
  <c r="P388" i="50"/>
  <c r="Q388" i="50" l="1"/>
  <c r="J389" i="50" s="1"/>
  <c r="A373" i="50"/>
  <c r="E373" i="50"/>
  <c r="D373" i="50"/>
  <c r="B373" i="50"/>
  <c r="L389" i="50" l="1"/>
  <c r="K389" i="50" s="1"/>
  <c r="P389" i="50" s="1"/>
  <c r="G373" i="50"/>
  <c r="F373" i="50"/>
  <c r="H373" i="50" s="1"/>
  <c r="N389" i="50" l="1"/>
  <c r="O389" i="50"/>
  <c r="M389" i="50"/>
  <c r="C374" i="50"/>
  <c r="A374" i="50"/>
  <c r="Q389" i="50" l="1"/>
  <c r="J390" i="50" s="1"/>
  <c r="E374" i="50"/>
  <c r="B374" i="50"/>
  <c r="G374" i="50" s="1"/>
  <c r="D374" i="50"/>
  <c r="L390" i="50" l="1"/>
  <c r="F374" i="50"/>
  <c r="H374" i="50" s="1"/>
  <c r="M390" i="50" l="1"/>
  <c r="N390" i="50"/>
  <c r="K390" i="50"/>
  <c r="P390" i="50" s="1"/>
  <c r="C375" i="50"/>
  <c r="A375" i="50"/>
  <c r="O390" i="50" l="1"/>
  <c r="Q390" i="50" s="1"/>
  <c r="B375" i="50"/>
  <c r="G375" i="50" s="1"/>
  <c r="E375" i="50"/>
  <c r="D375" i="50"/>
  <c r="J391" i="50" l="1"/>
  <c r="L391" i="50"/>
  <c r="K391" i="50" s="1"/>
  <c r="O391" i="50" s="1"/>
  <c r="F375" i="50"/>
  <c r="H375" i="50" s="1"/>
  <c r="M391" i="50" l="1"/>
  <c r="Q391" i="50" s="1"/>
  <c r="L392" i="50" s="1"/>
  <c r="K392" i="50" s="1"/>
  <c r="P391" i="50"/>
  <c r="N391" i="50"/>
  <c r="C376" i="50"/>
  <c r="A376" i="50"/>
  <c r="O392" i="50" l="1"/>
  <c r="M392" i="50"/>
  <c r="N392" i="50"/>
  <c r="P392" i="50"/>
  <c r="J392" i="50"/>
  <c r="B376" i="50"/>
  <c r="G376" i="50" s="1"/>
  <c r="D376" i="50"/>
  <c r="E376" i="50"/>
  <c r="Q392" i="50" l="1"/>
  <c r="J393" i="50" s="1"/>
  <c r="F376" i="50"/>
  <c r="H376" i="50" s="1"/>
  <c r="A377" i="50" s="1"/>
  <c r="L393" i="50" l="1"/>
  <c r="K393" i="50" s="1"/>
  <c r="O393" i="50" s="1"/>
  <c r="C377" i="50"/>
  <c r="B377" i="50" s="1"/>
  <c r="N393" i="50" l="1"/>
  <c r="P393" i="50"/>
  <c r="M393" i="50"/>
  <c r="Q393" i="50" s="1"/>
  <c r="J394" i="50" s="1"/>
  <c r="E377" i="50"/>
  <c r="D377" i="50"/>
  <c r="G377" i="50"/>
  <c r="F377" i="50"/>
  <c r="H377" i="50" l="1"/>
  <c r="C378" i="50" s="1"/>
  <c r="L394" i="50"/>
  <c r="K394" i="50" s="1"/>
  <c r="P394" i="50" s="1"/>
  <c r="A378" i="50" l="1"/>
  <c r="N394" i="50"/>
  <c r="M394" i="50"/>
  <c r="O394" i="50"/>
  <c r="B378" i="50"/>
  <c r="D378" i="50"/>
  <c r="E378" i="50"/>
  <c r="Q394" i="50" l="1"/>
  <c r="J395" i="50" s="1"/>
  <c r="G378" i="50"/>
  <c r="F378" i="50"/>
  <c r="H378" i="50" s="1"/>
  <c r="L395" i="50" l="1"/>
  <c r="M395" i="50" s="1"/>
  <c r="A379" i="50"/>
  <c r="C379" i="50"/>
  <c r="K395" i="50" l="1"/>
  <c r="P395" i="50" s="1"/>
  <c r="N395" i="50"/>
  <c r="B379" i="50"/>
  <c r="G379" i="50" s="1"/>
  <c r="D379" i="50"/>
  <c r="E379" i="50"/>
  <c r="O395" i="50" l="1"/>
  <c r="Q395" i="50" s="1"/>
  <c r="L396" i="50" s="1"/>
  <c r="N396" i="50" s="1"/>
  <c r="F379" i="50"/>
  <c r="H379" i="50" s="1"/>
  <c r="K396" i="50" l="1"/>
  <c r="O396" i="50" s="1"/>
  <c r="M396" i="50"/>
  <c r="J396" i="50"/>
  <c r="C380" i="50"/>
  <c r="A380" i="50"/>
  <c r="Q396" i="50" l="1"/>
  <c r="L397" i="50" s="1"/>
  <c r="P396" i="50"/>
  <c r="B380" i="50"/>
  <c r="G380" i="50" s="1"/>
  <c r="E380" i="50"/>
  <c r="D380" i="50"/>
  <c r="J397" i="50" l="1"/>
  <c r="N397" i="50"/>
  <c r="M397" i="50"/>
  <c r="K397" i="50"/>
  <c r="P397" i="50" s="1"/>
  <c r="F380" i="50"/>
  <c r="H380" i="50" s="1"/>
  <c r="O397" i="50" l="1"/>
  <c r="Q397" i="50" s="1"/>
  <c r="L398" i="50" s="1"/>
  <c r="A381" i="50"/>
  <c r="C381" i="50"/>
  <c r="J398" i="50" l="1"/>
  <c r="N398" i="50"/>
  <c r="M398" i="50"/>
  <c r="K398" i="50"/>
  <c r="D381" i="50"/>
  <c r="E381" i="50"/>
  <c r="B381" i="50"/>
  <c r="G381" i="50" s="1"/>
  <c r="O398" i="50" l="1"/>
  <c r="Q398" i="50" s="1"/>
  <c r="P398" i="50"/>
  <c r="F381" i="50"/>
  <c r="H381" i="50" s="1"/>
  <c r="L399" i="50" l="1"/>
  <c r="J399" i="50"/>
  <c r="A382" i="50"/>
  <c r="C382" i="50"/>
  <c r="M399" i="50" l="1"/>
  <c r="N399" i="50"/>
  <c r="K399" i="50"/>
  <c r="P399" i="50" s="1"/>
  <c r="D382" i="50"/>
  <c r="E382" i="50"/>
  <c r="B382" i="50"/>
  <c r="F382" i="50" s="1"/>
  <c r="H382" i="50" l="1"/>
  <c r="A383" i="50" s="1"/>
  <c r="O399" i="50"/>
  <c r="Q399" i="50" s="1"/>
  <c r="L400" i="50" s="1"/>
  <c r="K400" i="50" s="1"/>
  <c r="P400" i="50" s="1"/>
  <c r="G382" i="50"/>
  <c r="C383" i="50" l="1"/>
  <c r="B383" i="50" s="1"/>
  <c r="F383" i="50" s="1"/>
  <c r="J400" i="50"/>
  <c r="O400" i="50"/>
  <c r="M400" i="50"/>
  <c r="N400" i="50"/>
  <c r="G383" i="50" l="1"/>
  <c r="D383" i="50"/>
  <c r="H383" i="50" s="1"/>
  <c r="C384" i="50" s="1"/>
  <c r="E383" i="50"/>
  <c r="Q400" i="50"/>
  <c r="L401" i="50" s="1"/>
  <c r="A384" i="50" l="1"/>
  <c r="J401" i="50"/>
  <c r="M401" i="50"/>
  <c r="N401" i="50"/>
  <c r="K401" i="50"/>
  <c r="P401" i="50" s="1"/>
  <c r="B384" i="50"/>
  <c r="G384" i="50" s="1"/>
  <c r="D384" i="50"/>
  <c r="E384" i="50"/>
  <c r="O401" i="50" l="1"/>
  <c r="Q401" i="50" s="1"/>
  <c r="F384" i="50"/>
  <c r="H384" i="50" s="1"/>
  <c r="A385" i="50" s="1"/>
  <c r="L402" i="50" l="1"/>
  <c r="J402" i="50"/>
  <c r="C385" i="50"/>
  <c r="B385" i="50" s="1"/>
  <c r="F385" i="50" s="1"/>
  <c r="N402" i="50" l="1"/>
  <c r="M402" i="50"/>
  <c r="K402" i="50"/>
  <c r="P402" i="50" s="1"/>
  <c r="D385" i="50"/>
  <c r="H385" i="50" s="1"/>
  <c r="C386" i="50" s="1"/>
  <c r="G385" i="50"/>
  <c r="E385" i="50"/>
  <c r="O402" i="50" l="1"/>
  <c r="Q402" i="50" s="1"/>
  <c r="A386" i="50"/>
  <c r="B386" i="50"/>
  <c r="F386" i="50" s="1"/>
  <c r="E386" i="50"/>
  <c r="D386" i="50"/>
  <c r="L403" i="50" l="1"/>
  <c r="J403" i="50"/>
  <c r="H386" i="50"/>
  <c r="C387" i="50" s="1"/>
  <c r="G386" i="50"/>
  <c r="N403" i="50" l="1"/>
  <c r="M403" i="50"/>
  <c r="K403" i="50"/>
  <c r="A387" i="50"/>
  <c r="B387" i="50"/>
  <c r="G387" i="50" s="1"/>
  <c r="E387" i="50"/>
  <c r="D387" i="50"/>
  <c r="O403" i="50" l="1"/>
  <c r="Q403" i="50" s="1"/>
  <c r="P403" i="50"/>
  <c r="F387" i="50"/>
  <c r="H387" i="50" s="1"/>
  <c r="L404" i="50" l="1"/>
  <c r="J404" i="50"/>
  <c r="A388" i="50"/>
  <c r="C388" i="50"/>
  <c r="M404" i="50" l="1"/>
  <c r="N404" i="50"/>
  <c r="K404" i="50"/>
  <c r="O404" i="50" s="1"/>
  <c r="E388" i="50"/>
  <c r="D388" i="50"/>
  <c r="B388" i="50"/>
  <c r="G388" i="50" s="1"/>
  <c r="Q404" i="50" l="1"/>
  <c r="J405" i="50" s="1"/>
  <c r="P404" i="50"/>
  <c r="F388" i="50"/>
  <c r="H388" i="50" s="1"/>
  <c r="L405" i="50" l="1"/>
  <c r="K405" i="50" s="1"/>
  <c r="A389" i="50"/>
  <c r="C389" i="50"/>
  <c r="O405" i="50" l="1"/>
  <c r="M405" i="50"/>
  <c r="P405" i="50"/>
  <c r="N405" i="50"/>
  <c r="D389" i="50"/>
  <c r="E389" i="50"/>
  <c r="B389" i="50"/>
  <c r="F389" i="50" s="1"/>
  <c r="Q405" i="50" l="1"/>
  <c r="J406" i="50" s="1"/>
  <c r="H389" i="50"/>
  <c r="A390" i="50" s="1"/>
  <c r="G389" i="50"/>
  <c r="L406" i="50" l="1"/>
  <c r="K406" i="50" s="1"/>
  <c r="P406" i="50" s="1"/>
  <c r="C390" i="50"/>
  <c r="N406" i="50" l="1"/>
  <c r="O406" i="50"/>
  <c r="M406" i="50"/>
  <c r="B390" i="50"/>
  <c r="G390" i="50" s="1"/>
  <c r="D390" i="50"/>
  <c r="E390" i="50"/>
  <c r="F390" i="50" l="1"/>
  <c r="H390" i="50" s="1"/>
  <c r="A391" i="50" s="1"/>
  <c r="Q406" i="50"/>
  <c r="L407" i="50" s="1"/>
  <c r="M407" i="50" l="1"/>
  <c r="K407" i="50"/>
  <c r="O407" i="50" s="1"/>
  <c r="N407" i="50"/>
  <c r="J407" i="50"/>
  <c r="C391" i="50"/>
  <c r="E391" i="50" s="1"/>
  <c r="P407" i="50" l="1"/>
  <c r="Q407" i="50"/>
  <c r="J408" i="50" s="1"/>
  <c r="D391" i="50"/>
  <c r="B391" i="50"/>
  <c r="L408" i="50" l="1"/>
  <c r="K408" i="50" s="1"/>
  <c r="F391" i="50"/>
  <c r="H391" i="50" s="1"/>
  <c r="G391" i="50"/>
  <c r="N408" i="50" l="1"/>
  <c r="M408" i="50"/>
  <c r="O408" i="50"/>
  <c r="P408" i="50"/>
  <c r="A392" i="50"/>
  <c r="C392" i="50"/>
  <c r="Q408" i="50" l="1"/>
  <c r="J409" i="50" s="1"/>
  <c r="B392" i="50"/>
  <c r="F392" i="50" s="1"/>
  <c r="D392" i="50"/>
  <c r="E392" i="50"/>
  <c r="L409" i="50" l="1"/>
  <c r="M409" i="50" s="1"/>
  <c r="G392" i="50"/>
  <c r="H392" i="50"/>
  <c r="N409" i="50" l="1"/>
  <c r="K409" i="50"/>
  <c r="P409" i="50" s="1"/>
  <c r="A393" i="50"/>
  <c r="C393" i="50"/>
  <c r="O409" i="50" l="1"/>
  <c r="Q409" i="50" s="1"/>
  <c r="J410" i="50" s="1"/>
  <c r="B393" i="50"/>
  <c r="F393" i="50" s="1"/>
  <c r="E393" i="50"/>
  <c r="D393" i="50"/>
  <c r="L410" i="50" l="1"/>
  <c r="N410" i="50" s="1"/>
  <c r="G393" i="50"/>
  <c r="H393" i="50"/>
  <c r="M410" i="50" l="1"/>
  <c r="K410" i="50"/>
  <c r="P410" i="50" s="1"/>
  <c r="C394" i="50"/>
  <c r="A394" i="50"/>
  <c r="O410" i="50" l="1"/>
  <c r="Q410" i="50" s="1"/>
  <c r="L411" i="50" s="1"/>
  <c r="K411" i="50" s="1"/>
  <c r="O411" i="50" s="1"/>
  <c r="E394" i="50"/>
  <c r="B394" i="50"/>
  <c r="G394" i="50" s="1"/>
  <c r="D394" i="50"/>
  <c r="P411" i="50" l="1"/>
  <c r="J411" i="50"/>
  <c r="N411" i="50"/>
  <c r="M411" i="50"/>
  <c r="Q411" i="50" s="1"/>
  <c r="L412" i="50" s="1"/>
  <c r="F394" i="50"/>
  <c r="H394" i="50" s="1"/>
  <c r="C395" i="50" s="1"/>
  <c r="D395" i="50" s="1"/>
  <c r="M412" i="50" l="1"/>
  <c r="G34" i="50"/>
  <c r="F35" i="50"/>
  <c r="E34" i="50"/>
  <c r="F34" i="50"/>
  <c r="D35" i="50"/>
  <c r="C35" i="50"/>
  <c r="C34" i="50"/>
  <c r="D34" i="50"/>
  <c r="G35" i="50"/>
  <c r="E35" i="50"/>
  <c r="N412" i="50"/>
  <c r="J412" i="50"/>
  <c r="K412" i="50"/>
  <c r="O412" i="50" s="1"/>
  <c r="H35" i="50"/>
  <c r="I35" i="50"/>
  <c r="J35" i="50"/>
  <c r="K35" i="50"/>
  <c r="L35" i="50"/>
  <c r="B395" i="50"/>
  <c r="F395" i="50" s="1"/>
  <c r="H395" i="50" s="1"/>
  <c r="E395" i="50"/>
  <c r="A395" i="50"/>
  <c r="Q412" i="50" l="1"/>
  <c r="P412" i="50"/>
  <c r="H34" i="50"/>
  <c r="I34" i="50"/>
  <c r="J34" i="50"/>
  <c r="K34" i="50"/>
  <c r="L34" i="50"/>
  <c r="G395" i="50"/>
  <c r="C396" i="50"/>
  <c r="A396" i="50"/>
  <c r="D396" i="50" l="1"/>
  <c r="E396" i="50"/>
  <c r="B396" i="50"/>
  <c r="G396" i="50" s="1"/>
  <c r="L20" i="50" l="1"/>
  <c r="F396" i="50"/>
  <c r="H396" i="50" s="1"/>
  <c r="C397" i="50" s="1"/>
  <c r="A397" i="50" l="1"/>
  <c r="D397" i="50"/>
  <c r="E397" i="50"/>
  <c r="B397" i="50"/>
  <c r="G397" i="50" s="1"/>
  <c r="F397" i="50" l="1"/>
  <c r="H397" i="50" s="1"/>
  <c r="A398" i="50" s="1"/>
  <c r="C398" i="50" l="1"/>
  <c r="B398" i="50" s="1"/>
  <c r="D398" i="50" l="1"/>
  <c r="E398" i="50"/>
  <c r="F398" i="50"/>
  <c r="G398" i="50"/>
  <c r="H398" i="50" l="1"/>
  <c r="A399" i="50" s="1"/>
  <c r="C399" i="50" l="1"/>
  <c r="D399" i="50" s="1"/>
  <c r="B399" i="50" l="1"/>
  <c r="F399" i="50" s="1"/>
  <c r="H399" i="50" s="1"/>
  <c r="C400" i="50" s="1"/>
  <c r="E400" i="50" s="1"/>
  <c r="E399" i="50"/>
  <c r="G399" i="50" l="1"/>
  <c r="B400" i="50"/>
  <c r="F400" i="50" s="1"/>
  <c r="D400" i="50"/>
  <c r="A400" i="50"/>
  <c r="G400" i="50" l="1"/>
  <c r="H400" i="50"/>
  <c r="A401" i="50" s="1"/>
  <c r="C401" i="50" l="1"/>
  <c r="E401" i="50" l="1"/>
  <c r="D401" i="50"/>
  <c r="B401" i="50"/>
  <c r="F401" i="50" s="1"/>
  <c r="G401" i="50" l="1"/>
  <c r="H401" i="50"/>
  <c r="A402" i="50" s="1"/>
  <c r="C402" i="50" l="1"/>
  <c r="E402" i="50" l="1"/>
  <c r="B402" i="50"/>
  <c r="F402" i="50" s="1"/>
  <c r="D402" i="50"/>
  <c r="G402" i="50" l="1"/>
  <c r="H402" i="50"/>
  <c r="C403" i="50" s="1"/>
  <c r="A403" i="50" l="1"/>
  <c r="E403" i="50"/>
  <c r="D403" i="50"/>
  <c r="B403" i="50"/>
  <c r="F403" i="50" s="1"/>
  <c r="H403" i="50" l="1"/>
  <c r="C404" i="50" s="1"/>
  <c r="G403" i="50"/>
  <c r="A404" i="50" l="1"/>
  <c r="E404" i="50"/>
  <c r="D404" i="50"/>
  <c r="B404" i="50"/>
  <c r="G404" i="50" s="1"/>
  <c r="F404" i="50" l="1"/>
  <c r="H404" i="50" s="1"/>
  <c r="A405" i="50" l="1"/>
  <c r="C405" i="50"/>
  <c r="D405" i="50" l="1"/>
  <c r="E405" i="50"/>
  <c r="B405" i="50"/>
  <c r="G405" i="50" s="1"/>
  <c r="F405" i="50" l="1"/>
  <c r="H405" i="50" s="1"/>
  <c r="A406" i="50" l="1"/>
  <c r="C406" i="50"/>
  <c r="D406" i="50" l="1"/>
  <c r="E406" i="50"/>
  <c r="B406" i="50"/>
  <c r="F406" i="50" s="1"/>
  <c r="H406" i="50" l="1"/>
  <c r="A407" i="50" s="1"/>
  <c r="G406" i="50"/>
  <c r="C407" i="50" l="1"/>
  <c r="D407" i="50" l="1"/>
  <c r="E407" i="50"/>
  <c r="B407" i="50"/>
  <c r="F407" i="50" s="1"/>
  <c r="H407" i="50" l="1"/>
  <c r="C408" i="50" s="1"/>
  <c r="G407" i="50"/>
  <c r="A408" i="50" l="1"/>
  <c r="D408" i="50"/>
  <c r="E408" i="50"/>
  <c r="B408" i="50"/>
  <c r="G408" i="50" s="1"/>
  <c r="F408" i="50" l="1"/>
  <c r="H408" i="50" s="1"/>
  <c r="A409" i="50" l="1"/>
  <c r="C409" i="50"/>
  <c r="E409" i="50" l="1"/>
  <c r="D409" i="50"/>
  <c r="B409" i="50"/>
  <c r="G409" i="50" s="1"/>
  <c r="F409" i="50" l="1"/>
  <c r="H409" i="50" s="1"/>
  <c r="A410" i="50" l="1"/>
  <c r="C410" i="50"/>
  <c r="E410" i="50" l="1"/>
  <c r="D410" i="50"/>
  <c r="B410" i="50"/>
  <c r="G410" i="50" s="1"/>
  <c r="F410" i="50" l="1"/>
  <c r="H410" i="50" s="1"/>
  <c r="A411" i="50" l="1"/>
  <c r="C411" i="50"/>
  <c r="D411" i="50" l="1"/>
  <c r="E411" i="50"/>
  <c r="B411" i="50"/>
  <c r="F411" i="50" s="1"/>
  <c r="H411" i="50" l="1"/>
  <c r="A412" i="50" s="1"/>
  <c r="G411" i="50"/>
  <c r="C412" i="50" l="1"/>
  <c r="C31" i="50" s="1"/>
  <c r="C32" i="50" l="1"/>
  <c r="I31" i="50"/>
  <c r="H31" i="50"/>
  <c r="I32" i="50"/>
  <c r="H32" i="50"/>
  <c r="J32" i="50"/>
  <c r="K32" i="50"/>
  <c r="J31" i="50"/>
  <c r="K31" i="50"/>
  <c r="L31" i="50"/>
  <c r="L32" i="50"/>
  <c r="B412" i="50"/>
  <c r="G412" i="50" s="1"/>
  <c r="G32" i="50"/>
  <c r="F31" i="50"/>
  <c r="D31" i="50"/>
  <c r="E31" i="50"/>
  <c r="E32" i="50"/>
  <c r="F32" i="50"/>
  <c r="D32" i="50"/>
  <c r="G31" i="50"/>
  <c r="D412" i="50"/>
  <c r="E412" i="50"/>
  <c r="F412" i="50" l="1"/>
  <c r="H412" i="50" s="1"/>
  <c r="W53" i="50" l="1"/>
  <c r="F42" i="50"/>
  <c r="J34" i="28" s="1"/>
  <c r="F44" i="50"/>
  <c r="J36" i="28" s="1"/>
  <c r="V53" i="50"/>
  <c r="W394" i="50" l="1"/>
  <c r="W175" i="50"/>
  <c r="W267" i="50"/>
  <c r="W296" i="50"/>
  <c r="W194" i="50"/>
  <c r="W387" i="50"/>
  <c r="W210" i="50"/>
  <c r="W200" i="50"/>
  <c r="W390" i="50"/>
  <c r="W356" i="50"/>
  <c r="W197" i="50"/>
  <c r="W313" i="50"/>
  <c r="W258" i="50"/>
  <c r="W79" i="50"/>
  <c r="W206" i="50"/>
  <c r="W286" i="50"/>
  <c r="W230" i="50"/>
  <c r="W297" i="50"/>
  <c r="W218" i="50"/>
  <c r="W213" i="50"/>
  <c r="W240" i="50"/>
  <c r="W78" i="50"/>
  <c r="W388" i="50"/>
  <c r="W367" i="50"/>
  <c r="W242" i="50"/>
  <c r="W380" i="50"/>
  <c r="W112" i="50"/>
  <c r="W154" i="50"/>
  <c r="W370" i="50"/>
  <c r="W330" i="50"/>
  <c r="W171" i="50"/>
  <c r="W56" i="50"/>
  <c r="W174" i="50"/>
  <c r="W396" i="50"/>
  <c r="W341" i="50"/>
  <c r="W236" i="50"/>
  <c r="W207" i="50"/>
  <c r="W150" i="50"/>
  <c r="W227" i="50"/>
  <c r="W228" i="50"/>
  <c r="W391" i="50"/>
  <c r="W233" i="50"/>
  <c r="W265" i="50"/>
  <c r="W181" i="50"/>
  <c r="W198" i="50"/>
  <c r="W284" i="50"/>
  <c r="W74" i="50"/>
  <c r="W271" i="50"/>
  <c r="W324" i="50"/>
  <c r="W406" i="50"/>
  <c r="W223" i="50"/>
  <c r="W247" i="50"/>
  <c r="W251" i="50"/>
  <c r="W408" i="50"/>
  <c r="W333" i="50"/>
  <c r="W57" i="50"/>
  <c r="W273" i="50"/>
  <c r="W173" i="50"/>
  <c r="W190" i="50"/>
  <c r="W403" i="50"/>
  <c r="W104" i="50"/>
  <c r="W219" i="50"/>
  <c r="W299" i="50"/>
  <c r="W298" i="50"/>
  <c r="W369" i="50"/>
  <c r="W363" i="50"/>
  <c r="W62" i="50"/>
  <c r="W68" i="50"/>
  <c r="W381" i="50"/>
  <c r="W321" i="50"/>
  <c r="W300" i="50"/>
  <c r="W97" i="50"/>
  <c r="W320" i="50"/>
  <c r="W239" i="50"/>
  <c r="W91" i="50"/>
  <c r="W196" i="50"/>
  <c r="W83" i="50"/>
  <c r="W161" i="50"/>
  <c r="W269" i="50"/>
  <c r="W65" i="50"/>
  <c r="W144" i="50"/>
  <c r="W131" i="50"/>
  <c r="W401" i="50"/>
  <c r="W335" i="50"/>
  <c r="W162" i="50"/>
  <c r="W289" i="50"/>
  <c r="W405" i="50"/>
  <c r="W69" i="50"/>
  <c r="W294" i="50"/>
  <c r="W248" i="50"/>
  <c r="W382" i="50"/>
  <c r="W132" i="50"/>
  <c r="W116" i="50"/>
  <c r="W145" i="50"/>
  <c r="W222" i="50"/>
  <c r="W122" i="50"/>
  <c r="W348" i="50"/>
  <c r="W226" i="50"/>
  <c r="W167" i="50"/>
  <c r="W385" i="50"/>
  <c r="W178" i="50"/>
  <c r="W170" i="50"/>
  <c r="W158" i="50"/>
  <c r="W260" i="50"/>
  <c r="W261" i="50"/>
  <c r="W147" i="50"/>
  <c r="W253" i="50"/>
  <c r="W110" i="50"/>
  <c r="W231" i="50"/>
  <c r="W249" i="50"/>
  <c r="W202" i="50"/>
  <c r="W102" i="50"/>
  <c r="W252" i="50"/>
  <c r="W357" i="50"/>
  <c r="W195" i="50"/>
  <c r="W317" i="50"/>
  <c r="W107" i="50"/>
  <c r="W109" i="50"/>
  <c r="W353" i="50"/>
  <c r="W354" i="50"/>
  <c r="W287" i="50"/>
  <c r="W404" i="50"/>
  <c r="W58" i="50"/>
  <c r="W402" i="50"/>
  <c r="W325" i="50"/>
  <c r="W375" i="50"/>
  <c r="W301" i="50"/>
  <c r="W349" i="50"/>
  <c r="W211" i="50"/>
  <c r="W291" i="50"/>
  <c r="W359" i="50"/>
  <c r="W345" i="50"/>
  <c r="W264" i="50"/>
  <c r="W209" i="50"/>
  <c r="W389" i="50"/>
  <c r="W179" i="50"/>
  <c r="W399" i="50"/>
  <c r="W124" i="50"/>
  <c r="W142" i="50"/>
  <c r="W347" i="50"/>
  <c r="W238" i="50"/>
  <c r="W366" i="50"/>
  <c r="W139" i="50"/>
  <c r="W274" i="50"/>
  <c r="W256" i="50"/>
  <c r="W220" i="50"/>
  <c r="W379" i="50"/>
  <c r="W259" i="50"/>
  <c r="W71" i="50"/>
  <c r="W400" i="50"/>
  <c r="W241" i="50"/>
  <c r="W368" i="50"/>
  <c r="W160" i="50"/>
  <c r="W338" i="50"/>
  <c r="W250" i="50"/>
  <c r="W89" i="50"/>
  <c r="W331" i="50"/>
  <c r="W386" i="50"/>
  <c r="W277" i="50"/>
  <c r="W111" i="50"/>
  <c r="W98" i="50"/>
  <c r="W169" i="50"/>
  <c r="W410" i="50"/>
  <c r="W55" i="50"/>
  <c r="W278" i="50"/>
  <c r="W75" i="50"/>
  <c r="W340" i="50"/>
  <c r="W244" i="50"/>
  <c r="W377" i="50"/>
  <c r="W322" i="50"/>
  <c r="W137" i="50"/>
  <c r="W141" i="50"/>
  <c r="W81" i="50"/>
  <c r="W88" i="50"/>
  <c r="W237" i="50"/>
  <c r="W119" i="50"/>
  <c r="W374" i="50"/>
  <c r="W203" i="50"/>
  <c r="W355" i="50"/>
  <c r="W115" i="50"/>
  <c r="W121" i="50"/>
  <c r="W85" i="50"/>
  <c r="W246" i="50"/>
  <c r="W153" i="50"/>
  <c r="W114" i="50"/>
  <c r="W99" i="50"/>
  <c r="W263" i="50"/>
  <c r="W234" i="50"/>
  <c r="W113" i="50"/>
  <c r="W95" i="50"/>
  <c r="W165" i="50"/>
  <c r="W262" i="50"/>
  <c r="W371" i="50"/>
  <c r="W217" i="50"/>
  <c r="W127" i="50"/>
  <c r="W103" i="50"/>
  <c r="W254" i="50"/>
  <c r="W163" i="50"/>
  <c r="W343" i="50"/>
  <c r="W128" i="50"/>
  <c r="W384" i="50"/>
  <c r="W397" i="50"/>
  <c r="W311" i="50"/>
  <c r="W63" i="50"/>
  <c r="W176" i="50"/>
  <c r="W282" i="50"/>
  <c r="W346" i="50"/>
  <c r="W309" i="50"/>
  <c r="W67" i="50"/>
  <c r="W183" i="50"/>
  <c r="W358" i="50"/>
  <c r="W307" i="50"/>
  <c r="W100" i="50"/>
  <c r="W120" i="50"/>
  <c r="W126" i="50"/>
  <c r="W235" i="50"/>
  <c r="W315" i="50"/>
  <c r="W212" i="50"/>
  <c r="W327" i="50"/>
  <c r="W73" i="50"/>
  <c r="W378" i="50"/>
  <c r="W72" i="50"/>
  <c r="W185" i="50"/>
  <c r="W188" i="50"/>
  <c r="W395" i="50"/>
  <c r="W66" i="50"/>
  <c r="W106" i="50"/>
  <c r="W306" i="50"/>
  <c r="W177" i="50"/>
  <c r="W96" i="50"/>
  <c r="W318" i="50"/>
  <c r="W392" i="50"/>
  <c r="W342" i="50"/>
  <c r="W398" i="50"/>
  <c r="W304" i="50"/>
  <c r="W364" i="50"/>
  <c r="W59" i="50"/>
  <c r="W143" i="50"/>
  <c r="W314" i="50"/>
  <c r="W350" i="50"/>
  <c r="W383" i="50"/>
  <c r="W295" i="50"/>
  <c r="W135" i="50"/>
  <c r="W279" i="50"/>
  <c r="W310" i="50"/>
  <c r="W372" i="50"/>
  <c r="W376" i="50"/>
  <c r="W393" i="50"/>
  <c r="W328" i="50"/>
  <c r="W270" i="50"/>
  <c r="W302" i="50"/>
  <c r="W362" i="50"/>
  <c r="W303" i="50"/>
  <c r="W361" i="50"/>
  <c r="W92" i="50"/>
  <c r="W316" i="50"/>
  <c r="W245" i="50"/>
  <c r="W288" i="50"/>
  <c r="W285" i="50"/>
  <c r="W54" i="50"/>
  <c r="W257" i="50"/>
  <c r="W308" i="50"/>
  <c r="W136" i="50"/>
  <c r="W80" i="50"/>
  <c r="W76" i="50"/>
  <c r="W323" i="50"/>
  <c r="W204" i="50"/>
  <c r="W221" i="50"/>
  <c r="W281" i="50"/>
  <c r="W164" i="50"/>
  <c r="W232" i="50"/>
  <c r="W214" i="50"/>
  <c r="W272" i="50"/>
  <c r="W319" i="50"/>
  <c r="W117" i="50"/>
  <c r="W146" i="50"/>
  <c r="W360" i="50"/>
  <c r="W290" i="50"/>
  <c r="W172" i="50"/>
  <c r="W243" i="50"/>
  <c r="W208" i="50"/>
  <c r="W225" i="50"/>
  <c r="W187" i="50"/>
  <c r="W108" i="50"/>
  <c r="W140" i="50"/>
  <c r="W155" i="50"/>
  <c r="W149" i="50"/>
  <c r="W168" i="50"/>
  <c r="W191" i="50"/>
  <c r="W275" i="50"/>
  <c r="W216" i="50"/>
  <c r="W129" i="50"/>
  <c r="W123" i="50"/>
  <c r="W90" i="50"/>
  <c r="W329" i="50"/>
  <c r="W312" i="50"/>
  <c r="W130" i="50"/>
  <c r="W344" i="50"/>
  <c r="W93" i="50"/>
  <c r="W60" i="50"/>
  <c r="W337" i="50"/>
  <c r="W336" i="50"/>
  <c r="W293" i="50"/>
  <c r="W134" i="50"/>
  <c r="W334" i="50"/>
  <c r="W151" i="50"/>
  <c r="W94" i="50"/>
  <c r="W412" i="50"/>
  <c r="W224" i="50"/>
  <c r="W192" i="50"/>
  <c r="W339" i="50"/>
  <c r="W199" i="50"/>
  <c r="W189" i="50"/>
  <c r="W125" i="50"/>
  <c r="W409" i="50"/>
  <c r="W118" i="50"/>
  <c r="W411" i="50"/>
  <c r="W186" i="50"/>
  <c r="W352" i="50"/>
  <c r="W184" i="50"/>
  <c r="W101" i="50"/>
  <c r="W305" i="50"/>
  <c r="W276" i="50"/>
  <c r="W201" i="50"/>
  <c r="W152" i="50"/>
  <c r="W70" i="50"/>
  <c r="W205" i="50"/>
  <c r="W268" i="50"/>
  <c r="W157" i="50"/>
  <c r="W255" i="50"/>
  <c r="W283" i="50"/>
  <c r="W292" i="50"/>
  <c r="W64" i="50"/>
  <c r="W326" i="50"/>
  <c r="W148" i="50"/>
  <c r="W84" i="50"/>
  <c r="W82" i="50"/>
  <c r="W138" i="50"/>
  <c r="W86" i="50"/>
  <c r="W105" i="50"/>
  <c r="W61" i="50"/>
  <c r="W87" i="50"/>
  <c r="W166" i="50"/>
  <c r="W351" i="50"/>
  <c r="W159" i="50"/>
  <c r="W193" i="50"/>
  <c r="W180" i="50"/>
  <c r="W229" i="50"/>
  <c r="W215" i="50"/>
  <c r="W280" i="50"/>
  <c r="W365" i="50"/>
  <c r="W407" i="50"/>
  <c r="W266" i="50"/>
  <c r="W373" i="50"/>
  <c r="W332" i="50"/>
  <c r="W182" i="50"/>
  <c r="W133" i="50"/>
  <c r="W156" i="50"/>
  <c r="W77" i="50"/>
  <c r="X91" i="50"/>
  <c r="Y256" i="50"/>
  <c r="Y226" i="50"/>
  <c r="X317" i="50"/>
  <c r="Y223" i="50"/>
  <c r="Y180" i="50"/>
  <c r="Y285" i="50"/>
  <c r="X211" i="50"/>
  <c r="X167" i="50"/>
  <c r="Y74" i="50"/>
  <c r="X272" i="50"/>
  <c r="Y98" i="50"/>
  <c r="X80" i="50"/>
  <c r="Y199" i="50"/>
  <c r="X231" i="50"/>
  <c r="X236" i="50"/>
  <c r="X190" i="50"/>
  <c r="X205" i="50"/>
  <c r="Y206" i="50"/>
  <c r="Y120" i="50"/>
  <c r="Y251" i="50"/>
  <c r="Y283" i="50"/>
  <c r="X110" i="50"/>
  <c r="X248" i="50"/>
  <c r="Y132" i="50"/>
  <c r="X244" i="50"/>
  <c r="Y95" i="50"/>
  <c r="X81" i="50"/>
  <c r="X206" i="50"/>
  <c r="X238" i="50"/>
  <c r="X101" i="50"/>
  <c r="X348" i="50"/>
  <c r="X93" i="50"/>
  <c r="X208" i="50"/>
  <c r="X108" i="50"/>
  <c r="X312" i="50"/>
  <c r="X291" i="50"/>
  <c r="Y162" i="50"/>
  <c r="Y234" i="50"/>
  <c r="Y324" i="50"/>
  <c r="Y182" i="50"/>
  <c r="Y287" i="50"/>
  <c r="Y295" i="50"/>
  <c r="X67" i="50"/>
  <c r="X112" i="50"/>
  <c r="Y105" i="50"/>
  <c r="Y325" i="50"/>
  <c r="Y184" i="50"/>
  <c r="X247" i="50"/>
  <c r="X161" i="50"/>
  <c r="Y246" i="50"/>
  <c r="X139" i="50"/>
  <c r="X97" i="50"/>
  <c r="X184" i="50"/>
  <c r="X151" i="50"/>
  <c r="X241" i="50"/>
  <c r="X289" i="50"/>
  <c r="X214" i="50"/>
  <c r="X242" i="50"/>
  <c r="Y202" i="50"/>
  <c r="Y152" i="50"/>
  <c r="Y87" i="50"/>
  <c r="Y93" i="50"/>
  <c r="Y174" i="50"/>
  <c r="X266" i="50"/>
  <c r="X309" i="50"/>
  <c r="Y60" i="50"/>
  <c r="X143" i="50"/>
  <c r="X307" i="50"/>
  <c r="X171" i="50"/>
  <c r="X87" i="50"/>
  <c r="Y210" i="50"/>
  <c r="X181" i="50"/>
  <c r="Y197" i="50"/>
  <c r="X353" i="50"/>
  <c r="Y130" i="50"/>
  <c r="Y101" i="50"/>
  <c r="X102" i="50"/>
  <c r="Y151" i="50"/>
  <c r="Y171" i="50"/>
  <c r="Y78" i="50"/>
  <c r="X173" i="50"/>
  <c r="Y147" i="50"/>
  <c r="Y155" i="50"/>
  <c r="Y335" i="50"/>
  <c r="Y320" i="50"/>
  <c r="X324" i="50"/>
  <c r="Y273" i="50"/>
  <c r="X82" i="50"/>
  <c r="X239" i="50"/>
  <c r="Y269" i="50"/>
  <c r="X314" i="50"/>
  <c r="X183" i="50"/>
  <c r="X53" i="50"/>
  <c r="Z53" i="50" s="1"/>
  <c r="V54" i="50" s="1"/>
  <c r="X316" i="50"/>
  <c r="X62" i="50"/>
  <c r="X285" i="50"/>
  <c r="Y59" i="50"/>
  <c r="X188" i="50"/>
  <c r="Y56" i="50"/>
  <c r="X176" i="50"/>
  <c r="X159" i="50"/>
  <c r="Y102" i="50"/>
  <c r="Y332" i="50"/>
  <c r="X182" i="50"/>
  <c r="X329" i="50"/>
  <c r="Y353" i="50"/>
  <c r="X115" i="50"/>
  <c r="X90" i="50"/>
  <c r="X286" i="50"/>
  <c r="X185" i="50"/>
  <c r="Y229" i="50"/>
  <c r="X232" i="50"/>
  <c r="Y290" i="50"/>
  <c r="X147" i="50"/>
  <c r="X277" i="50"/>
  <c r="X233" i="50"/>
  <c r="X100" i="50"/>
  <c r="X180" i="50"/>
  <c r="X215" i="50"/>
  <c r="X296" i="50"/>
  <c r="X221" i="50"/>
  <c r="X328" i="50"/>
  <c r="X280" i="50"/>
  <c r="Y176" i="50"/>
  <c r="X344" i="50"/>
  <c r="Y139" i="50"/>
  <c r="Y129" i="50"/>
  <c r="X95" i="50"/>
  <c r="X218" i="50"/>
  <c r="X268" i="50"/>
  <c r="Y82" i="50"/>
  <c r="Y160" i="50"/>
  <c r="Y294" i="50"/>
  <c r="X134" i="50"/>
  <c r="X235" i="50"/>
  <c r="X55" i="50"/>
  <c r="X154" i="50"/>
  <c r="X195" i="50"/>
  <c r="X142" i="50"/>
  <c r="X256" i="50"/>
  <c r="Y346" i="50"/>
  <c r="Y146" i="50"/>
  <c r="X249" i="50"/>
  <c r="X297" i="50"/>
  <c r="X253" i="50"/>
  <c r="X57" i="50"/>
  <c r="Y97" i="50"/>
  <c r="X168" i="50"/>
  <c r="X74" i="50"/>
  <c r="X104" i="50"/>
  <c r="X217" i="50"/>
  <c r="Y315" i="50"/>
  <c r="Y232" i="50"/>
  <c r="X220" i="50"/>
  <c r="X234" i="50"/>
  <c r="Y242" i="50"/>
  <c r="X137" i="50"/>
  <c r="Y292" i="50"/>
  <c r="Y70" i="50"/>
  <c r="X262" i="50"/>
  <c r="Y209" i="50"/>
  <c r="Y281" i="50"/>
  <c r="X270" i="50"/>
  <c r="X259" i="50"/>
  <c r="X352" i="50"/>
  <c r="Y344" i="50"/>
  <c r="X264" i="50"/>
  <c r="Y195" i="50"/>
  <c r="Y293" i="50"/>
  <c r="Y216" i="50"/>
  <c r="Y159" i="50"/>
  <c r="Y259" i="50"/>
  <c r="Y67" i="50"/>
  <c r="Y124" i="50"/>
  <c r="X200" i="50"/>
  <c r="X298" i="50"/>
  <c r="Y347" i="50"/>
  <c r="X229" i="50"/>
  <c r="X267" i="50"/>
  <c r="X300" i="50"/>
  <c r="X337" i="50"/>
  <c r="X257" i="50"/>
  <c r="Y318" i="50"/>
  <c r="X76" i="50"/>
  <c r="X122" i="50"/>
  <c r="X83" i="50"/>
  <c r="X170" i="50"/>
  <c r="Y200" i="50"/>
  <c r="X351" i="50"/>
  <c r="X132" i="50"/>
  <c r="Y64" i="50"/>
  <c r="Y350" i="50"/>
  <c r="X304" i="50"/>
  <c r="X144" i="50"/>
  <c r="Y235" i="50"/>
  <c r="Y298" i="50"/>
  <c r="Y92" i="50"/>
  <c r="X71" i="50"/>
  <c r="Y150" i="50"/>
  <c r="X145" i="50"/>
  <c r="X325" i="50"/>
  <c r="X150" i="50"/>
  <c r="X78" i="50"/>
  <c r="X164" i="50"/>
  <c r="X189" i="50"/>
  <c r="X246" i="50"/>
  <c r="X209" i="50"/>
  <c r="X165" i="50"/>
  <c r="X254" i="50"/>
  <c r="X330" i="50"/>
  <c r="X288" i="50"/>
  <c r="X281" i="50"/>
  <c r="X136" i="50"/>
  <c r="X341" i="50"/>
  <c r="X163" i="50"/>
  <c r="Y253" i="50"/>
  <c r="Y343" i="50"/>
  <c r="Y80" i="50"/>
  <c r="Y110" i="50"/>
  <c r="X129" i="50"/>
  <c r="X219" i="50"/>
  <c r="X133" i="50"/>
  <c r="X96" i="50"/>
  <c r="X178" i="50"/>
  <c r="Y134" i="50"/>
  <c r="X228" i="50"/>
  <c r="Y330" i="50"/>
  <c r="X86" i="50"/>
  <c r="X320" i="50"/>
  <c r="X301" i="50"/>
  <c r="Y123" i="50"/>
  <c r="Y131" i="50"/>
  <c r="Y168" i="50"/>
  <c r="X106" i="50"/>
  <c r="Y154" i="50"/>
  <c r="X271" i="50"/>
  <c r="X187" i="50"/>
  <c r="Y301" i="50"/>
  <c r="Y183" i="50"/>
  <c r="Y345" i="50"/>
  <c r="X260" i="50"/>
  <c r="X64" i="50"/>
  <c r="Y142" i="50"/>
  <c r="X153" i="50"/>
  <c r="Y243" i="50"/>
  <c r="X321" i="50"/>
  <c r="X119" i="50"/>
  <c r="X88" i="50"/>
  <c r="Y228" i="50"/>
  <c r="Y278" i="50"/>
  <c r="Y322" i="50"/>
  <c r="Y54" i="50"/>
  <c r="X70" i="50"/>
  <c r="Y117" i="50"/>
  <c r="Y208" i="50"/>
  <c r="Y342" i="50"/>
  <c r="X245" i="50"/>
  <c r="Y258" i="50"/>
  <c r="Y266" i="50"/>
  <c r="Y167" i="50"/>
  <c r="X311" i="50"/>
  <c r="X191" i="50"/>
  <c r="X118" i="50"/>
  <c r="Y203" i="50"/>
  <c r="X331" i="50"/>
  <c r="Y179" i="50"/>
  <c r="Y188" i="50"/>
  <c r="Y284" i="50"/>
  <c r="Y89" i="50"/>
  <c r="X120" i="50"/>
  <c r="Y166" i="50"/>
  <c r="X204" i="50"/>
  <c r="Y214" i="50"/>
  <c r="Y291" i="50"/>
  <c r="Y204" i="50"/>
  <c r="Y164" i="50"/>
  <c r="X98" i="50"/>
  <c r="Y109" i="50"/>
  <c r="Y338" i="50"/>
  <c r="X121" i="50"/>
  <c r="Y57" i="50"/>
  <c r="X60" i="50"/>
  <c r="Y107" i="50"/>
  <c r="Y113" i="50"/>
  <c r="X306" i="50"/>
  <c r="Y84" i="50"/>
  <c r="Y115" i="50"/>
  <c r="X347" i="50"/>
  <c r="Y61" i="50"/>
  <c r="Y311" i="50"/>
  <c r="X192" i="50"/>
  <c r="X65" i="50"/>
  <c r="X273" i="50"/>
  <c r="X279" i="50"/>
  <c r="Y282" i="50"/>
  <c r="X175" i="50"/>
  <c r="Y264" i="50"/>
  <c r="X202" i="50"/>
  <c r="Y189" i="50"/>
  <c r="X210" i="50"/>
  <c r="X198" i="50"/>
  <c r="Y111" i="50"/>
  <c r="Y170" i="50"/>
  <c r="Y231" i="50"/>
  <c r="X319" i="50"/>
  <c r="Y158" i="50"/>
  <c r="X310" i="50"/>
  <c r="Y227" i="50"/>
  <c r="X322" i="50"/>
  <c r="Y248" i="50"/>
  <c r="Y103" i="50"/>
  <c r="Y161" i="50"/>
  <c r="Y288" i="50"/>
  <c r="Y215" i="50"/>
  <c r="Y72" i="50"/>
  <c r="X265" i="50"/>
  <c r="Y156" i="50"/>
  <c r="X89" i="50"/>
  <c r="Y302" i="50"/>
  <c r="Y143" i="50"/>
  <c r="Y220" i="50"/>
  <c r="Y62" i="50"/>
  <c r="X128" i="50"/>
  <c r="Y96" i="50"/>
  <c r="Y341" i="50"/>
  <c r="Y136" i="50"/>
  <c r="X149" i="50"/>
  <c r="Y169" i="50"/>
  <c r="X61" i="50"/>
  <c r="X179" i="50"/>
  <c r="Y112" i="50"/>
  <c r="X223" i="50"/>
  <c r="X158" i="50"/>
  <c r="X54" i="50"/>
  <c r="X148" i="50"/>
  <c r="Y145" i="50"/>
  <c r="X338" i="50"/>
  <c r="Y173" i="50"/>
  <c r="Y196" i="50"/>
  <c r="Y219" i="50"/>
  <c r="X303" i="50"/>
  <c r="Y127" i="50"/>
  <c r="Y191" i="50"/>
  <c r="Y122" i="50"/>
  <c r="Y349" i="50"/>
  <c r="Y133" i="50"/>
  <c r="X111" i="50"/>
  <c r="X315" i="50"/>
  <c r="Y71" i="50"/>
  <c r="Y331" i="50"/>
  <c r="X77" i="50"/>
  <c r="X186" i="50"/>
  <c r="X113" i="50"/>
  <c r="Y236" i="50"/>
  <c r="X213" i="50"/>
  <c r="X125" i="50"/>
  <c r="X155" i="50"/>
  <c r="X177" i="50"/>
  <c r="Y207" i="50"/>
  <c r="X59" i="50"/>
  <c r="X109" i="50"/>
  <c r="X230" i="50"/>
  <c r="Y279" i="50"/>
  <c r="X226" i="50"/>
  <c r="Y75" i="50"/>
  <c r="X305" i="50"/>
  <c r="Y271" i="50"/>
  <c r="X123" i="50"/>
  <c r="Y153" i="50"/>
  <c r="X99" i="50"/>
  <c r="X293" i="50"/>
  <c r="X162" i="50"/>
  <c r="Y299" i="50"/>
  <c r="Y217" i="50"/>
  <c r="Y88" i="50"/>
  <c r="X282" i="50"/>
  <c r="Y194" i="50"/>
  <c r="Y69" i="50"/>
  <c r="X92" i="50"/>
  <c r="X255" i="50"/>
  <c r="X141" i="50"/>
  <c r="Y205" i="50"/>
  <c r="Y249" i="50"/>
  <c r="X227" i="50"/>
  <c r="X199" i="50"/>
  <c r="Y91" i="50"/>
  <c r="Y106" i="50"/>
  <c r="X261" i="50"/>
  <c r="X269" i="50"/>
  <c r="Y267" i="50"/>
  <c r="X345" i="50"/>
  <c r="X302" i="50"/>
  <c r="X292" i="50"/>
  <c r="Y163" i="50"/>
  <c r="Y274" i="50"/>
  <c r="X156" i="50"/>
  <c r="Y245" i="50"/>
  <c r="X342" i="50"/>
  <c r="Y312" i="50"/>
  <c r="X174" i="50"/>
  <c r="Y262" i="50"/>
  <c r="Y181" i="50"/>
  <c r="Y190" i="50"/>
  <c r="Y252" i="50"/>
  <c r="Y135" i="50"/>
  <c r="Y100" i="50"/>
  <c r="Y175" i="50"/>
  <c r="X212" i="50"/>
  <c r="Y212" i="50"/>
  <c r="X336" i="50"/>
  <c r="Y114" i="50"/>
  <c r="X237" i="50"/>
  <c r="Y268" i="50"/>
  <c r="X124" i="50"/>
  <c r="X172" i="50"/>
  <c r="Y138" i="50"/>
  <c r="X251" i="50"/>
  <c r="X243" i="50"/>
  <c r="X308" i="50"/>
  <c r="Y352" i="50"/>
  <c r="X166" i="50"/>
  <c r="Y118" i="50"/>
  <c r="X94" i="50"/>
  <c r="Y323" i="50"/>
  <c r="X75" i="50"/>
  <c r="X169" i="50"/>
  <c r="X107" i="50"/>
  <c r="X66" i="50"/>
  <c r="X68" i="50"/>
  <c r="X126" i="50"/>
  <c r="Y230" i="50"/>
  <c r="Y340" i="50"/>
  <c r="Y304" i="50"/>
  <c r="Y76" i="50"/>
  <c r="Y300" i="50"/>
  <c r="Y137" i="50"/>
  <c r="Y116" i="50"/>
  <c r="Y329" i="50"/>
  <c r="Y276" i="50"/>
  <c r="X252" i="50"/>
  <c r="X146" i="50"/>
  <c r="Y104" i="50"/>
  <c r="Y218" i="50"/>
  <c r="X340" i="50"/>
  <c r="Y66" i="50"/>
  <c r="X318" i="50"/>
  <c r="Y306" i="50"/>
  <c r="Y348" i="50"/>
  <c r="X216" i="50"/>
  <c r="X207" i="50"/>
  <c r="Y296" i="50"/>
  <c r="Y237" i="50"/>
  <c r="Y73" i="50"/>
  <c r="Y275" i="50"/>
  <c r="X350" i="50"/>
  <c r="X323" i="50"/>
  <c r="Y213" i="50"/>
  <c r="Y317" i="50"/>
  <c r="Y272" i="50"/>
  <c r="Y165" i="50"/>
  <c r="X72" i="50"/>
  <c r="X138" i="50"/>
  <c r="X258" i="50"/>
  <c r="Y277" i="50"/>
  <c r="X290" i="50"/>
  <c r="Y85" i="50"/>
  <c r="Y254" i="50"/>
  <c r="X299" i="50"/>
  <c r="X295" i="50"/>
  <c r="Y239" i="50"/>
  <c r="Y77" i="50"/>
  <c r="Y68" i="50"/>
  <c r="X343" i="50"/>
  <c r="Y339" i="50"/>
  <c r="Y140" i="50"/>
  <c r="Y126" i="50"/>
  <c r="X193" i="50"/>
  <c r="Y172" i="50"/>
  <c r="Y286" i="50"/>
  <c r="Y334" i="50"/>
  <c r="X56" i="50"/>
  <c r="X222" i="50"/>
  <c r="Y327" i="50"/>
  <c r="Y144" i="50"/>
  <c r="Y148" i="50"/>
  <c r="Y261" i="50"/>
  <c r="Y316" i="50"/>
  <c r="X105" i="50"/>
  <c r="X69" i="50"/>
  <c r="X73" i="50"/>
  <c r="Y328" i="50"/>
  <c r="Y201" i="50"/>
  <c r="Y351" i="50"/>
  <c r="X294" i="50"/>
  <c r="Y240" i="50"/>
  <c r="X194" i="50"/>
  <c r="Y55" i="50"/>
  <c r="Y65" i="50"/>
  <c r="X197" i="50"/>
  <c r="Y157" i="50"/>
  <c r="X157" i="50"/>
  <c r="X114" i="50"/>
  <c r="Y238" i="50"/>
  <c r="Y58" i="50"/>
  <c r="X263" i="50"/>
  <c r="Y108" i="50"/>
  <c r="Y224" i="50"/>
  <c r="Y321" i="50"/>
  <c r="Y79" i="50"/>
  <c r="X131" i="50"/>
  <c r="Y186" i="50"/>
  <c r="X346" i="50"/>
  <c r="X85" i="50"/>
  <c r="Y250" i="50"/>
  <c r="Y99" i="50"/>
  <c r="X284" i="50"/>
  <c r="X339" i="50"/>
  <c r="Y313" i="50"/>
  <c r="Y289" i="50"/>
  <c r="X201" i="50"/>
  <c r="X240" i="50"/>
  <c r="X84" i="50"/>
  <c r="Y244" i="50"/>
  <c r="Y307" i="50"/>
  <c r="Y63" i="50"/>
  <c r="Y149" i="50"/>
  <c r="Y247" i="50"/>
  <c r="Y121" i="50"/>
  <c r="Y326" i="50"/>
  <c r="Y221" i="50"/>
  <c r="Y333" i="50"/>
  <c r="X250" i="50"/>
  <c r="Y90" i="50"/>
  <c r="Y260" i="50"/>
  <c r="Y198" i="50"/>
  <c r="X130" i="50"/>
  <c r="X79" i="50"/>
  <c r="X203" i="50"/>
  <c r="X63" i="50"/>
  <c r="Y270" i="50"/>
  <c r="X160" i="50"/>
  <c r="Y128" i="50"/>
  <c r="Y336" i="50"/>
  <c r="X127" i="50"/>
  <c r="Y241" i="50"/>
  <c r="X117" i="50"/>
  <c r="X225" i="50"/>
  <c r="Y225" i="50"/>
  <c r="Y83" i="50"/>
  <c r="X349" i="50"/>
  <c r="X327" i="50"/>
  <c r="X332" i="50"/>
  <c r="Y305" i="50"/>
  <c r="X326" i="50"/>
  <c r="Y177" i="50"/>
  <c r="Y310" i="50"/>
  <c r="Y86" i="50"/>
  <c r="Y280" i="50"/>
  <c r="Y125" i="50"/>
  <c r="X283" i="50"/>
  <c r="X140" i="50"/>
  <c r="Y94" i="50"/>
  <c r="Y297" i="50"/>
  <c r="Y193" i="50"/>
  <c r="X333" i="50"/>
  <c r="Y257" i="50"/>
  <c r="X116" i="50"/>
  <c r="Y337" i="50"/>
  <c r="Y309" i="50"/>
  <c r="Y211" i="50"/>
  <c r="X196" i="50"/>
  <c r="X103" i="50"/>
  <c r="Y187" i="50"/>
  <c r="Y141" i="50"/>
  <c r="X275" i="50"/>
  <c r="X276" i="50"/>
  <c r="Y185" i="50"/>
  <c r="X334" i="50"/>
  <c r="X335" i="50"/>
  <c r="Y265" i="50"/>
  <c r="Y319" i="50"/>
  <c r="Y192" i="50"/>
  <c r="Y53" i="50"/>
  <c r="X152" i="50"/>
  <c r="X58" i="50"/>
  <c r="Y255" i="50"/>
  <c r="Y308" i="50"/>
  <c r="Y263" i="50"/>
  <c r="X287" i="50"/>
  <c r="X278" i="50"/>
  <c r="X274" i="50"/>
  <c r="Y233" i="50"/>
  <c r="Y81" i="50"/>
  <c r="Y314" i="50"/>
  <c r="Y119" i="50"/>
  <c r="Y222" i="50"/>
  <c r="Y303" i="50"/>
  <c r="Y178" i="50"/>
  <c r="X224" i="50"/>
  <c r="X313" i="50"/>
  <c r="X135" i="50"/>
  <c r="Z54" i="50" l="1"/>
  <c r="V55" i="50" s="1"/>
  <c r="Z55" i="50" s="1"/>
  <c r="V56" i="50" s="1"/>
  <c r="Z56" i="50" s="1"/>
  <c r="V57" i="50" s="1"/>
  <c r="Z57" i="50" s="1"/>
  <c r="V58" i="50" s="1"/>
  <c r="Z58" i="50" s="1"/>
  <c r="V59" i="50" s="1"/>
  <c r="Z59" i="50" s="1"/>
  <c r="V60" i="50" s="1"/>
  <c r="Z60" i="50" s="1"/>
  <c r="V61" i="50" s="1"/>
  <c r="Z61" i="50" s="1"/>
  <c r="V62" i="50" s="1"/>
  <c r="Z62" i="50" s="1"/>
  <c r="V63" i="50" s="1"/>
  <c r="Z63" i="50" s="1"/>
  <c r="V64" i="50" s="1"/>
  <c r="Z64" i="50" s="1"/>
  <c r="V65" i="50" s="1"/>
  <c r="Z65" i="50" s="1"/>
  <c r="V66" i="50" s="1"/>
  <c r="Z66" i="50" s="1"/>
  <c r="V67" i="50" s="1"/>
  <c r="Z67" i="50" s="1"/>
  <c r="V68" i="50" s="1"/>
  <c r="Z68" i="50" s="1"/>
  <c r="V69" i="50" s="1"/>
  <c r="Z69" i="50" s="1"/>
  <c r="V70" i="50" s="1"/>
  <c r="Z70" i="50" s="1"/>
  <c r="V71" i="50" s="1"/>
  <c r="Z71" i="50" s="1"/>
  <c r="V72" i="50" s="1"/>
  <c r="Z72" i="50" s="1"/>
  <c r="V73" i="50" s="1"/>
  <c r="Z73" i="50" s="1"/>
  <c r="V74" i="50" s="1"/>
  <c r="Z74" i="50" s="1"/>
  <c r="V75" i="50" s="1"/>
  <c r="Z75" i="50" s="1"/>
  <c r="V76" i="50" s="1"/>
  <c r="Z76" i="50" s="1"/>
  <c r="V77" i="50" s="1"/>
  <c r="Z77" i="50" s="1"/>
  <c r="V78" i="50" s="1"/>
  <c r="Z78" i="50" s="1"/>
  <c r="V79" i="50" s="1"/>
  <c r="Z79" i="50" s="1"/>
  <c r="V80" i="50" s="1"/>
  <c r="Z80" i="50" s="1"/>
  <c r="V81" i="50" s="1"/>
  <c r="Z81" i="50" s="1"/>
  <c r="V82" i="50" s="1"/>
  <c r="Z82" i="50" s="1"/>
  <c r="V83" i="50" s="1"/>
  <c r="Z83" i="50" s="1"/>
  <c r="V84" i="50" s="1"/>
  <c r="Z84" i="50" s="1"/>
  <c r="V85" i="50" s="1"/>
  <c r="Z85" i="50" s="1"/>
  <c r="V86" i="50" s="1"/>
  <c r="Z86" i="50" s="1"/>
  <c r="V87" i="50" s="1"/>
  <c r="Z87" i="50" s="1"/>
  <c r="V88" i="50" s="1"/>
  <c r="Z88" i="50" s="1"/>
  <c r="V89" i="50" s="1"/>
  <c r="Z89" i="50" s="1"/>
  <c r="V90" i="50" s="1"/>
  <c r="Z90" i="50" s="1"/>
  <c r="V91" i="50" s="1"/>
  <c r="Z91" i="50" s="1"/>
  <c r="V92" i="50" s="1"/>
  <c r="Z92" i="50" s="1"/>
  <c r="V93" i="50" s="1"/>
  <c r="Z93" i="50" s="1"/>
  <c r="V94" i="50" s="1"/>
  <c r="Z94" i="50" s="1"/>
  <c r="V95" i="50" s="1"/>
  <c r="Z95" i="50" s="1"/>
  <c r="V96" i="50" s="1"/>
  <c r="Z96" i="50" s="1"/>
  <c r="V97" i="50" s="1"/>
  <c r="Z97" i="50" s="1"/>
  <c r="V98" i="50" s="1"/>
  <c r="Z98" i="50" s="1"/>
  <c r="V99" i="50" s="1"/>
  <c r="Z99" i="50" s="1"/>
  <c r="V100" i="50" s="1"/>
  <c r="Z100" i="50" s="1"/>
  <c r="V101" i="50" s="1"/>
  <c r="Z101" i="50" s="1"/>
  <c r="V102" i="50" s="1"/>
  <c r="Z102" i="50" s="1"/>
  <c r="V103" i="50" s="1"/>
  <c r="Z103" i="50" s="1"/>
  <c r="V104" i="50" s="1"/>
  <c r="Z104" i="50" s="1"/>
  <c r="V105" i="50" s="1"/>
  <c r="Z105" i="50" s="1"/>
  <c r="V106" i="50" s="1"/>
  <c r="Z106" i="50" s="1"/>
  <c r="V107" i="50" s="1"/>
  <c r="Z107" i="50" s="1"/>
  <c r="V108" i="50" s="1"/>
  <c r="Z108" i="50" s="1"/>
  <c r="V109" i="50" s="1"/>
  <c r="Z109" i="50" s="1"/>
  <c r="V110" i="50" s="1"/>
  <c r="Z110" i="50" s="1"/>
  <c r="V111" i="50" s="1"/>
  <c r="Z111" i="50" s="1"/>
  <c r="V112" i="50" s="1"/>
  <c r="Z112" i="50" s="1"/>
  <c r="V113" i="50" s="1"/>
  <c r="Z113" i="50" s="1"/>
  <c r="V114" i="50" s="1"/>
  <c r="Z114" i="50" s="1"/>
  <c r="V115" i="50" s="1"/>
  <c r="Z115" i="50" s="1"/>
  <c r="V116" i="50" s="1"/>
  <c r="Z116" i="50" s="1"/>
  <c r="V117" i="50" s="1"/>
  <c r="Z117" i="50" s="1"/>
  <c r="V118" i="50" s="1"/>
  <c r="Z118" i="50" s="1"/>
  <c r="V119" i="50" s="1"/>
  <c r="Z119" i="50" s="1"/>
  <c r="V120" i="50" s="1"/>
  <c r="Z120" i="50" s="1"/>
  <c r="V121" i="50" s="1"/>
  <c r="Z121" i="50" s="1"/>
  <c r="V122" i="50" s="1"/>
  <c r="Z122" i="50" s="1"/>
  <c r="V123" i="50" s="1"/>
  <c r="Z123" i="50" s="1"/>
  <c r="V124" i="50" s="1"/>
  <c r="Z124" i="50" s="1"/>
  <c r="V125" i="50" s="1"/>
  <c r="Z125" i="50" s="1"/>
  <c r="V126" i="50" s="1"/>
  <c r="Z126" i="50" s="1"/>
  <c r="V127" i="50" s="1"/>
  <c r="Z127" i="50" s="1"/>
  <c r="V128" i="50" s="1"/>
  <c r="Z128" i="50" s="1"/>
  <c r="V129" i="50" s="1"/>
  <c r="Z129" i="50" s="1"/>
  <c r="V130" i="50" l="1"/>
  <c r="Z130" i="50" s="1"/>
  <c r="V131" i="50" s="1"/>
  <c r="Z131" i="50" s="1"/>
  <c r="V132" i="50" s="1"/>
  <c r="Z132" i="50" s="1"/>
  <c r="V133" i="50" s="1"/>
  <c r="Z133" i="50" s="1"/>
  <c r="V134" i="50" s="1"/>
  <c r="Z134" i="50" s="1"/>
  <c r="V135" i="50" s="1"/>
  <c r="Z135" i="50" s="1"/>
  <c r="V136" i="50" s="1"/>
  <c r="Z136" i="50" s="1"/>
  <c r="V137" i="50" s="1"/>
  <c r="Z137" i="50" s="1"/>
  <c r="V138" i="50" s="1"/>
  <c r="Z138" i="50" s="1"/>
  <c r="V139" i="50" s="1"/>
  <c r="Z139" i="50" s="1"/>
  <c r="V140" i="50" s="1"/>
  <c r="Z140" i="50" s="1"/>
  <c r="V141" i="50" s="1"/>
  <c r="Z141" i="50" s="1"/>
  <c r="V142" i="50" s="1"/>
  <c r="Z142" i="50" s="1"/>
  <c r="V143" i="50" s="1"/>
  <c r="Z143" i="50" s="1"/>
  <c r="V144" i="50" s="1"/>
  <c r="Z144" i="50" s="1"/>
  <c r="V145" i="50" s="1"/>
  <c r="Z145" i="50" s="1"/>
  <c r="V146" i="50" s="1"/>
  <c r="Z146" i="50" s="1"/>
  <c r="V147" i="50" s="1"/>
  <c r="Z147" i="50" s="1"/>
  <c r="V148" i="50" s="1"/>
  <c r="Z148" i="50" s="1"/>
  <c r="V149" i="50" s="1"/>
  <c r="Z149" i="50" s="1"/>
  <c r="V150" i="50" s="1"/>
  <c r="Z150" i="50" s="1"/>
  <c r="V151" i="50" s="1"/>
  <c r="Z151" i="50" s="1"/>
  <c r="V152" i="50" s="1"/>
  <c r="Z152" i="50" s="1"/>
  <c r="V153" i="50" s="1"/>
  <c r="Z153" i="50" s="1"/>
  <c r="V154" i="50" s="1"/>
  <c r="Z154" i="50" s="1"/>
  <c r="V155" i="50" s="1"/>
  <c r="Z155" i="50" s="1"/>
  <c r="V156" i="50" s="1"/>
  <c r="Z156" i="50" s="1"/>
  <c r="V157" i="50" s="1"/>
  <c r="Z157" i="50" s="1"/>
  <c r="V158" i="50" s="1"/>
  <c r="Z158" i="50" s="1"/>
  <c r="V159" i="50" s="1"/>
  <c r="Z159" i="50" s="1"/>
  <c r="V160" i="50" s="1"/>
  <c r="Z160" i="50" s="1"/>
  <c r="V161" i="50" s="1"/>
  <c r="Z161" i="50" s="1"/>
  <c r="V162" i="50" s="1"/>
  <c r="Z162" i="50" s="1"/>
  <c r="V163" i="50" s="1"/>
  <c r="Z163" i="50" s="1"/>
  <c r="V164" i="50" s="1"/>
  <c r="Z164" i="50" s="1"/>
  <c r="V165" i="50" s="1"/>
  <c r="Z165" i="50" s="1"/>
  <c r="V166" i="50" s="1"/>
  <c r="Z166" i="50" s="1"/>
  <c r="V167" i="50" s="1"/>
  <c r="Z167" i="50" s="1"/>
  <c r="V168" i="50" s="1"/>
  <c r="Z168" i="50" s="1"/>
  <c r="V169" i="50" s="1"/>
  <c r="Z169" i="50" s="1"/>
  <c r="V170" i="50" s="1"/>
  <c r="Z170" i="50" s="1"/>
  <c r="V171" i="50" s="1"/>
  <c r="Z171" i="50" s="1"/>
  <c r="V172" i="50" s="1"/>
  <c r="Z172" i="50" s="1"/>
  <c r="T74" i="28"/>
  <c r="M15" i="50" l="1"/>
  <c r="K43" i="50" s="1"/>
  <c r="O35" i="28" s="1"/>
  <c r="V173" i="50"/>
  <c r="Z173" i="50" s="1"/>
  <c r="V174" i="50" s="1"/>
  <c r="Z174" i="50" s="1"/>
  <c r="V175" i="50" s="1"/>
  <c r="Z175" i="50" s="1"/>
  <c r="V176" i="50" s="1"/>
  <c r="Z176" i="50" s="1"/>
  <c r="V177" i="50" s="1"/>
  <c r="Z177" i="50" s="1"/>
  <c r="V178" i="50" s="1"/>
  <c r="Z178" i="50" s="1"/>
  <c r="V179" i="50" s="1"/>
  <c r="Z179" i="50" s="1"/>
  <c r="V180" i="50" s="1"/>
  <c r="Z180" i="50" s="1"/>
  <c r="V181" i="50" s="1"/>
  <c r="Z181" i="50" s="1"/>
  <c r="V182" i="50" s="1"/>
  <c r="Z182" i="50" s="1"/>
  <c r="V183" i="50" s="1"/>
  <c r="Z183" i="50" s="1"/>
  <c r="V184" i="50" s="1"/>
  <c r="Z184" i="50" s="1"/>
  <c r="V185" i="50" s="1"/>
  <c r="Z185" i="50" s="1"/>
  <c r="V186" i="50" s="1"/>
  <c r="Z186" i="50" s="1"/>
  <c r="V187" i="50" s="1"/>
  <c r="Z187" i="50" s="1"/>
  <c r="V188" i="50" s="1"/>
  <c r="Z188" i="50" s="1"/>
  <c r="V189" i="50" s="1"/>
  <c r="Z189" i="50" s="1"/>
  <c r="V190" i="50" s="1"/>
  <c r="Z190" i="50" s="1"/>
  <c r="V191" i="50" s="1"/>
  <c r="Z191" i="50" s="1"/>
  <c r="V192" i="50" s="1"/>
  <c r="Z192" i="50" s="1"/>
  <c r="V193" i="50" s="1"/>
  <c r="Z193" i="50" s="1"/>
  <c r="V194" i="50" s="1"/>
  <c r="Z194" i="50" s="1"/>
  <c r="V195" i="50" s="1"/>
  <c r="Z195" i="50" s="1"/>
  <c r="V196" i="50" s="1"/>
  <c r="Z196" i="50" s="1"/>
  <c r="V197" i="50" s="1"/>
  <c r="Z197" i="50" s="1"/>
  <c r="V198" i="50" s="1"/>
  <c r="Z198" i="50" s="1"/>
  <c r="V199" i="50" s="1"/>
  <c r="Z199" i="50" s="1"/>
  <c r="V200" i="50" s="1"/>
  <c r="Z200" i="50" s="1"/>
  <c r="V201" i="50" s="1"/>
  <c r="Z201" i="50" s="1"/>
  <c r="V202" i="50" s="1"/>
  <c r="Z202" i="50" s="1"/>
  <c r="V203" i="50" s="1"/>
  <c r="Z203" i="50" s="1"/>
  <c r="V204" i="50" s="1"/>
  <c r="Z204" i="50" s="1"/>
  <c r="V205" i="50" s="1"/>
  <c r="Z205" i="50" s="1"/>
  <c r="V206" i="50" s="1"/>
  <c r="Z206" i="50" s="1"/>
  <c r="V207" i="50" s="1"/>
  <c r="Z207" i="50" s="1"/>
  <c r="V208" i="50" s="1"/>
  <c r="Z208" i="50" s="1"/>
  <c r="V209" i="50" s="1"/>
  <c r="Z209" i="50" s="1"/>
  <c r="V210" i="50" s="1"/>
  <c r="Z210" i="50" s="1"/>
  <c r="V211" i="50" s="1"/>
  <c r="Z211" i="50" s="1"/>
  <c r="V212" i="50" s="1"/>
  <c r="Z212" i="50" s="1"/>
  <c r="V213" i="50" s="1"/>
  <c r="Z213" i="50" s="1"/>
  <c r="V214" i="50" s="1"/>
  <c r="Z214" i="50" s="1"/>
  <c r="V215" i="50" s="1"/>
  <c r="Z215" i="50" s="1"/>
  <c r="V216" i="50" s="1"/>
  <c r="Z216" i="50" s="1"/>
  <c r="V217" i="50" s="1"/>
  <c r="Z217" i="50" s="1"/>
  <c r="V218" i="50" s="1"/>
  <c r="Z218" i="50" s="1"/>
  <c r="V219" i="50" s="1"/>
  <c r="Z219" i="50" s="1"/>
  <c r="V220" i="50" s="1"/>
  <c r="Z220" i="50" s="1"/>
  <c r="V221" i="50" s="1"/>
  <c r="Z221" i="50" s="1"/>
  <c r="V222" i="50" s="1"/>
  <c r="Z222" i="50" s="1"/>
  <c r="V223" i="50" s="1"/>
  <c r="Z223" i="50" s="1"/>
  <c r="V224" i="50" s="1"/>
  <c r="Z224" i="50" s="1"/>
  <c r="V225" i="50" s="1"/>
  <c r="Z225" i="50" s="1"/>
  <c r="V226" i="50" s="1"/>
  <c r="Z226" i="50" s="1"/>
  <c r="V227" i="50" s="1"/>
  <c r="Z227" i="50" s="1"/>
  <c r="V228" i="50" s="1"/>
  <c r="Z228" i="50" s="1"/>
  <c r="V229" i="50" s="1"/>
  <c r="Z229" i="50" s="1"/>
  <c r="V230" i="50" s="1"/>
  <c r="Z230" i="50" s="1"/>
  <c r="V231" i="50" s="1"/>
  <c r="Z231" i="50" s="1"/>
  <c r="V232" i="50" s="1"/>
  <c r="Z232" i="50" s="1"/>
  <c r="V233" i="50" s="1"/>
  <c r="Z233" i="50" s="1"/>
  <c r="V234" i="50" s="1"/>
  <c r="Z234" i="50" s="1"/>
  <c r="V235" i="50" s="1"/>
  <c r="Z235" i="50" s="1"/>
  <c r="V236" i="50" s="1"/>
  <c r="Z236" i="50" s="1"/>
  <c r="V237" i="50" s="1"/>
  <c r="Z237" i="50" s="1"/>
  <c r="V238" i="50" s="1"/>
  <c r="Z238" i="50" s="1"/>
  <c r="V239" i="50" s="1"/>
  <c r="Z239" i="50" s="1"/>
  <c r="V240" i="50" s="1"/>
  <c r="Z240" i="50" s="1"/>
  <c r="V241" i="50" s="1"/>
  <c r="Z241" i="50" s="1"/>
  <c r="V242" i="50" s="1"/>
  <c r="Z242" i="50" s="1"/>
  <c r="V243" i="50" s="1"/>
  <c r="Z243" i="50" s="1"/>
  <c r="V244" i="50" s="1"/>
  <c r="Z244" i="50" s="1"/>
  <c r="V245" i="50" s="1"/>
  <c r="Z245" i="50" s="1"/>
  <c r="V246" i="50" s="1"/>
  <c r="Z246" i="50" s="1"/>
  <c r="V247" i="50" s="1"/>
  <c r="Z247" i="50" s="1"/>
  <c r="V248" i="50" s="1"/>
  <c r="Z248" i="50" s="1"/>
  <c r="V249" i="50" s="1"/>
  <c r="Z249" i="50" s="1"/>
  <c r="V250" i="50" s="1"/>
  <c r="Z250" i="50" s="1"/>
  <c r="V251" i="50" s="1"/>
  <c r="Z251" i="50" s="1"/>
  <c r="V252" i="50" s="1"/>
  <c r="Z252" i="50" s="1"/>
  <c r="V253" i="50" s="1"/>
  <c r="Z253" i="50" s="1"/>
  <c r="V254" i="50" s="1"/>
  <c r="Z254" i="50" s="1"/>
  <c r="V255" i="50" s="1"/>
  <c r="Z255" i="50" s="1"/>
  <c r="V256" i="50" s="1"/>
  <c r="Z256" i="50" s="1"/>
  <c r="V257" i="50" s="1"/>
  <c r="Z257" i="50" s="1"/>
  <c r="V258" i="50" s="1"/>
  <c r="Z258" i="50" s="1"/>
  <c r="V259" i="50" s="1"/>
  <c r="Z259" i="50" s="1"/>
  <c r="V260" i="50" s="1"/>
  <c r="Z260" i="50" s="1"/>
  <c r="V261" i="50" s="1"/>
  <c r="Z261" i="50" s="1"/>
  <c r="V262" i="50" s="1"/>
  <c r="Z262" i="50" s="1"/>
  <c r="V263" i="50" s="1"/>
  <c r="Z263" i="50" s="1"/>
  <c r="V264" i="50" s="1"/>
  <c r="Z264" i="50" s="1"/>
  <c r="V265" i="50" s="1"/>
  <c r="Z265" i="50" s="1"/>
  <c r="V266" i="50" s="1"/>
  <c r="Z266" i="50" s="1"/>
  <c r="V267" i="50" s="1"/>
  <c r="Z267" i="50" s="1"/>
  <c r="V268" i="50" s="1"/>
  <c r="Z268" i="50" s="1"/>
  <c r="V269" i="50" s="1"/>
  <c r="Z269" i="50" s="1"/>
  <c r="V270" i="50" s="1"/>
  <c r="Z270" i="50" s="1"/>
  <c r="V271" i="50" s="1"/>
  <c r="Z271" i="50" s="1"/>
  <c r="V272" i="50" s="1"/>
  <c r="Z272" i="50" s="1"/>
  <c r="V273" i="50" s="1"/>
  <c r="Z273" i="50" s="1"/>
  <c r="V274" i="50" s="1"/>
  <c r="Z274" i="50" s="1"/>
  <c r="V275" i="50" s="1"/>
  <c r="Z275" i="50" s="1"/>
  <c r="V276" i="50" s="1"/>
  <c r="Z276" i="50" s="1"/>
  <c r="V277" i="50" s="1"/>
  <c r="Z277" i="50" s="1"/>
  <c r="V278" i="50" s="1"/>
  <c r="Z278" i="50" s="1"/>
  <c r="V279" i="50" s="1"/>
  <c r="Z279" i="50" s="1"/>
  <c r="V280" i="50" s="1"/>
  <c r="Z280" i="50" s="1"/>
  <c r="V281" i="50" s="1"/>
  <c r="Z281" i="50" s="1"/>
  <c r="V282" i="50" s="1"/>
  <c r="Z282" i="50" s="1"/>
  <c r="V283" i="50" s="1"/>
  <c r="Z283" i="50" s="1"/>
  <c r="V284" i="50" s="1"/>
  <c r="Z284" i="50" s="1"/>
  <c r="V285" i="50" s="1"/>
  <c r="Z285" i="50" s="1"/>
  <c r="V286" i="50" s="1"/>
  <c r="Z286" i="50" s="1"/>
  <c r="V287" i="50" s="1"/>
  <c r="Z287" i="50" s="1"/>
  <c r="V288" i="50" s="1"/>
  <c r="Z288" i="50" s="1"/>
  <c r="V289" i="50" s="1"/>
  <c r="Z289" i="50" s="1"/>
  <c r="V290" i="50" s="1"/>
  <c r="Z290" i="50" s="1"/>
  <c r="V291" i="50" s="1"/>
  <c r="Z291" i="50" s="1"/>
  <c r="V292" i="50" s="1"/>
  <c r="Z292" i="50" s="1"/>
  <c r="V293" i="50" s="1"/>
  <c r="Z293" i="50" s="1"/>
  <c r="V294" i="50" s="1"/>
  <c r="Z294" i="50" s="1"/>
  <c r="V295" i="50" s="1"/>
  <c r="Z295" i="50" s="1"/>
  <c r="V296" i="50" s="1"/>
  <c r="Z296" i="50" s="1"/>
  <c r="V297" i="50" s="1"/>
  <c r="Z297" i="50" s="1"/>
  <c r="V298" i="50" s="1"/>
  <c r="Z298" i="50" s="1"/>
  <c r="V299" i="50" s="1"/>
  <c r="Z299" i="50" s="1"/>
  <c r="V300" i="50" s="1"/>
  <c r="Z300" i="50" s="1"/>
  <c r="V301" i="50" s="1"/>
  <c r="Z301" i="50" s="1"/>
  <c r="V302" i="50" s="1"/>
  <c r="Z302" i="50" s="1"/>
  <c r="V303" i="50" s="1"/>
  <c r="Z303" i="50" s="1"/>
  <c r="V304" i="50" s="1"/>
  <c r="Z304" i="50" s="1"/>
  <c r="V305" i="50" s="1"/>
  <c r="Z305" i="50" s="1"/>
  <c r="V306" i="50" s="1"/>
  <c r="Z306" i="50" s="1"/>
  <c r="V307" i="50" s="1"/>
  <c r="Z307" i="50" s="1"/>
  <c r="V308" i="50" s="1"/>
  <c r="Z308" i="50" s="1"/>
  <c r="V309" i="50" s="1"/>
  <c r="Z309" i="50" s="1"/>
  <c r="V310" i="50" s="1"/>
  <c r="Z310" i="50" s="1"/>
  <c r="V311" i="50" s="1"/>
  <c r="Z311" i="50" s="1"/>
  <c r="V312" i="50" s="1"/>
  <c r="Z312" i="50" s="1"/>
  <c r="V313" i="50" s="1"/>
  <c r="Z313" i="50" s="1"/>
  <c r="V314" i="50" s="1"/>
  <c r="Z314" i="50" s="1"/>
  <c r="V315" i="50" s="1"/>
  <c r="Z315" i="50" s="1"/>
  <c r="V316" i="50" s="1"/>
  <c r="Z316" i="50" s="1"/>
  <c r="V317" i="50" s="1"/>
  <c r="Z317" i="50" s="1"/>
  <c r="V318" i="50" s="1"/>
  <c r="Z318" i="50" s="1"/>
  <c r="V319" i="50" s="1"/>
  <c r="Z319" i="50" s="1"/>
  <c r="V320" i="50" s="1"/>
  <c r="Z320" i="50" s="1"/>
  <c r="V321" i="50" s="1"/>
  <c r="Z321" i="50" s="1"/>
  <c r="V322" i="50" s="1"/>
  <c r="Z322" i="50" s="1"/>
  <c r="V323" i="50" s="1"/>
  <c r="Z323" i="50" s="1"/>
  <c r="V324" i="50" s="1"/>
  <c r="Z324" i="50" s="1"/>
  <c r="V325" i="50" s="1"/>
  <c r="Z325" i="50" s="1"/>
  <c r="V326" i="50" s="1"/>
  <c r="Z326" i="50" s="1"/>
  <c r="V327" i="50" s="1"/>
  <c r="Z327" i="50" s="1"/>
  <c r="V328" i="50" s="1"/>
  <c r="Z328" i="50" s="1"/>
  <c r="V329" i="50" s="1"/>
  <c r="Z329" i="50" s="1"/>
  <c r="V330" i="50" s="1"/>
  <c r="Z330" i="50" s="1"/>
  <c r="V331" i="50" s="1"/>
  <c r="Z331" i="50" s="1"/>
  <c r="V332" i="50" s="1"/>
  <c r="Z332" i="50" s="1"/>
  <c r="V333" i="50" s="1"/>
  <c r="Z333" i="50" s="1"/>
  <c r="V334" i="50" s="1"/>
  <c r="Z334" i="50" s="1"/>
  <c r="V335" i="50" s="1"/>
  <c r="Z335" i="50" s="1"/>
  <c r="V336" i="50" s="1"/>
  <c r="Z336" i="50" s="1"/>
  <c r="V337" i="50" s="1"/>
  <c r="Z337" i="50" s="1"/>
  <c r="V338" i="50" s="1"/>
  <c r="Z338" i="50" s="1"/>
  <c r="V339" i="50" s="1"/>
  <c r="Z339" i="50" s="1"/>
  <c r="V340" i="50" s="1"/>
  <c r="Z340" i="50" s="1"/>
  <c r="V341" i="50" s="1"/>
  <c r="Z341" i="50" s="1"/>
  <c r="V342" i="50" s="1"/>
  <c r="Z342" i="50" s="1"/>
  <c r="V343" i="50" s="1"/>
  <c r="Z343" i="50" s="1"/>
  <c r="V344" i="50" s="1"/>
  <c r="Z344" i="50" s="1"/>
  <c r="V345" i="50" s="1"/>
  <c r="Z345" i="50" s="1"/>
  <c r="V346" i="50" s="1"/>
  <c r="Z346" i="50" s="1"/>
  <c r="V347" i="50" s="1"/>
  <c r="Z347" i="50" s="1"/>
  <c r="V348" i="50" s="1"/>
  <c r="Z348" i="50" s="1"/>
  <c r="V349" i="50" s="1"/>
  <c r="Z349" i="50" s="1"/>
  <c r="V350" i="50" s="1"/>
  <c r="Z350" i="50" s="1"/>
  <c r="V351" i="50" s="1"/>
  <c r="Z351" i="50" s="1"/>
  <c r="V352" i="50" s="1"/>
  <c r="Z352" i="50" s="1"/>
  <c r="U353" i="50" l="1"/>
  <c r="T354" i="50" s="1"/>
  <c r="V353" i="50"/>
  <c r="Z353" i="50" s="1"/>
  <c r="S353" i="50"/>
  <c r="S354" i="50" l="1"/>
  <c r="U354" i="50"/>
  <c r="V354" i="50"/>
  <c r="X354" i="50"/>
  <c r="Y354" i="50"/>
  <c r="Z354" i="50" l="1"/>
  <c r="U355" i="50" l="1"/>
  <c r="V355" i="50"/>
  <c r="S355" i="50"/>
  <c r="T355" i="50" l="1"/>
  <c r="Y355" i="50" l="1"/>
  <c r="X355" i="50"/>
  <c r="Z355" i="50" s="1"/>
  <c r="V356" i="50" l="1"/>
  <c r="U356" i="50"/>
  <c r="S356" i="50"/>
  <c r="T356" i="50" l="1"/>
  <c r="X356" i="50" l="1"/>
  <c r="Z356" i="50" s="1"/>
  <c r="Y356" i="50"/>
  <c r="V357" i="50" l="1"/>
  <c r="U357" i="50"/>
  <c r="S357" i="50"/>
  <c r="T357" i="50" l="1"/>
  <c r="X357" i="50" l="1"/>
  <c r="Z357" i="50" s="1"/>
  <c r="Y357" i="50"/>
  <c r="V358" i="50" l="1"/>
  <c r="S358" i="50"/>
  <c r="U358" i="50"/>
  <c r="T358" i="50" l="1"/>
  <c r="X358" i="50" l="1"/>
  <c r="Z358" i="50" s="1"/>
  <c r="Y358" i="50"/>
  <c r="S359" i="50" l="1"/>
  <c r="V359" i="50"/>
  <c r="U359" i="50"/>
  <c r="T359" i="50" l="1"/>
  <c r="Y359" i="50" l="1"/>
  <c r="X359" i="50"/>
  <c r="Z359" i="50" s="1"/>
  <c r="U360" i="50" l="1"/>
  <c r="S360" i="50"/>
  <c r="V360" i="50"/>
  <c r="T360" i="50" l="1"/>
  <c r="Y360" i="50" l="1"/>
  <c r="X360" i="50"/>
  <c r="Z360" i="50" s="1"/>
  <c r="V361" i="50" l="1"/>
  <c r="S361" i="50"/>
  <c r="U361" i="50"/>
  <c r="T361" i="50" l="1"/>
  <c r="X361" i="50" l="1"/>
  <c r="Z361" i="50" s="1"/>
  <c r="Y361" i="50"/>
  <c r="V362" i="50" l="1"/>
  <c r="U362" i="50"/>
  <c r="S362" i="50"/>
  <c r="T362" i="50" l="1"/>
  <c r="X362" i="50" l="1"/>
  <c r="Z362" i="50" s="1"/>
  <c r="Y362" i="50"/>
  <c r="S363" i="50" l="1"/>
  <c r="V363" i="50"/>
  <c r="U363" i="50"/>
  <c r="T363" i="50" s="1"/>
  <c r="Y363" i="50" l="1"/>
  <c r="X363" i="50"/>
  <c r="Z363" i="50" s="1"/>
  <c r="V364" i="50" l="1"/>
  <c r="S364" i="50"/>
  <c r="U364" i="50"/>
  <c r="T364" i="50" s="1"/>
  <c r="X364" i="50" l="1"/>
  <c r="Z364" i="50" s="1"/>
  <c r="Y364" i="50"/>
  <c r="V365" i="50" l="1"/>
  <c r="S365" i="50"/>
  <c r="U365" i="50"/>
  <c r="T365" i="50" s="1"/>
  <c r="X365" i="50" l="1"/>
  <c r="Z365" i="50" s="1"/>
  <c r="Y365" i="50"/>
  <c r="U366" i="50" l="1"/>
  <c r="T366" i="50" s="1"/>
  <c r="S366" i="50"/>
  <c r="V366" i="50"/>
  <c r="Y366" i="50" l="1"/>
  <c r="X366" i="50"/>
  <c r="Z366" i="50" s="1"/>
  <c r="U367" i="50" l="1"/>
  <c r="T367" i="50" s="1"/>
  <c r="V367" i="50"/>
  <c r="S367" i="50"/>
  <c r="X367" i="50" l="1"/>
  <c r="Z367" i="50" s="1"/>
  <c r="Y367" i="50"/>
  <c r="V368" i="50" l="1"/>
  <c r="U368" i="50"/>
  <c r="T368" i="50" s="1"/>
  <c r="S368" i="50"/>
  <c r="X368" i="50" l="1"/>
  <c r="Z368" i="50" s="1"/>
  <c r="Y368" i="50"/>
  <c r="U369" i="50" l="1"/>
  <c r="T369" i="50" s="1"/>
  <c r="V369" i="50"/>
  <c r="S369" i="50"/>
  <c r="Y369" i="50" l="1"/>
  <c r="X369" i="50"/>
  <c r="Z369" i="50" s="1"/>
  <c r="V370" i="50" l="1"/>
  <c r="S370" i="50"/>
  <c r="U370" i="50"/>
  <c r="T370" i="50" s="1"/>
  <c r="Y370" i="50" l="1"/>
  <c r="X370" i="50"/>
  <c r="Z370" i="50" s="1"/>
  <c r="S371" i="50" l="1"/>
  <c r="U371" i="50"/>
  <c r="T371" i="50" s="1"/>
  <c r="V371" i="50"/>
  <c r="X371" i="50" l="1"/>
  <c r="Z371" i="50" s="1"/>
  <c r="Y371" i="50"/>
  <c r="U372" i="50" l="1"/>
  <c r="T372" i="50" s="1"/>
  <c r="V372" i="50"/>
  <c r="S372" i="50"/>
  <c r="Y372" i="50" l="1"/>
  <c r="X372" i="50"/>
  <c r="Z372" i="50" s="1"/>
  <c r="V373" i="50" l="1"/>
  <c r="S373" i="50"/>
  <c r="U373" i="50"/>
  <c r="T373" i="50" s="1"/>
  <c r="X373" i="50" l="1"/>
  <c r="Z373" i="50" s="1"/>
  <c r="Y373" i="50"/>
  <c r="V374" i="50" l="1"/>
  <c r="U374" i="50"/>
  <c r="T374" i="50" s="1"/>
  <c r="S374" i="50"/>
  <c r="X374" i="50" l="1"/>
  <c r="Z374" i="50" s="1"/>
  <c r="Y374" i="50"/>
  <c r="S375" i="50" l="1"/>
  <c r="V375" i="50"/>
  <c r="U375" i="50"/>
  <c r="T375" i="50" s="1"/>
  <c r="X375" i="50" l="1"/>
  <c r="Z375" i="50" s="1"/>
  <c r="Y375" i="50"/>
  <c r="U376" i="50" l="1"/>
  <c r="T376" i="50" s="1"/>
  <c r="S376" i="50"/>
  <c r="V376" i="50"/>
  <c r="X376" i="50" l="1"/>
  <c r="Z376" i="50" s="1"/>
  <c r="Y376" i="50"/>
  <c r="S377" i="50" l="1"/>
  <c r="U377" i="50"/>
  <c r="T377" i="50" s="1"/>
  <c r="V377" i="50"/>
  <c r="X377" i="50" l="1"/>
  <c r="Z377" i="50" s="1"/>
  <c r="Y377" i="50"/>
  <c r="S378" i="50" l="1"/>
  <c r="V378" i="50"/>
  <c r="U378" i="50"/>
  <c r="T378" i="50" s="1"/>
  <c r="Y378" i="50" l="1"/>
  <c r="X378" i="50"/>
  <c r="Z378" i="50" s="1"/>
  <c r="U379" i="50" l="1"/>
  <c r="T379" i="50" s="1"/>
  <c r="V379" i="50"/>
  <c r="S379" i="50"/>
  <c r="X379" i="50" l="1"/>
  <c r="Z379" i="50" s="1"/>
  <c r="Y379" i="50"/>
  <c r="U380" i="50" l="1"/>
  <c r="T380" i="50" s="1"/>
  <c r="S380" i="50"/>
  <c r="V380" i="50"/>
  <c r="X380" i="50" l="1"/>
  <c r="Z380" i="50" s="1"/>
  <c r="Y380" i="50"/>
  <c r="V381" i="50" l="1"/>
  <c r="U381" i="50"/>
  <c r="S381" i="50"/>
  <c r="T381" i="50" l="1"/>
  <c r="X381" i="50" l="1"/>
  <c r="Z381" i="50" s="1"/>
  <c r="Y381" i="50"/>
  <c r="V382" i="50" l="1"/>
  <c r="U382" i="50"/>
  <c r="S382" i="50"/>
  <c r="T382" i="50" l="1"/>
  <c r="Y382" i="50" l="1"/>
  <c r="X382" i="50"/>
  <c r="Z382" i="50" s="1"/>
  <c r="V383" i="50" l="1"/>
  <c r="U383" i="50"/>
  <c r="S383" i="50"/>
  <c r="T383" i="50" l="1"/>
  <c r="Y383" i="50" l="1"/>
  <c r="X383" i="50"/>
  <c r="Z383" i="50" s="1"/>
  <c r="U384" i="50" l="1"/>
  <c r="V384" i="50"/>
  <c r="S384" i="50"/>
  <c r="T384" i="50" l="1"/>
  <c r="X384" i="50" l="1"/>
  <c r="Z384" i="50" s="1"/>
  <c r="Y384" i="50"/>
  <c r="V385" i="50" l="1"/>
  <c r="U385" i="50"/>
  <c r="S385" i="50"/>
  <c r="T385" i="50" l="1"/>
  <c r="Y385" i="50" l="1"/>
  <c r="X385" i="50"/>
  <c r="Z385" i="50" s="1"/>
  <c r="V386" i="50" l="1"/>
  <c r="U386" i="50"/>
  <c r="S386" i="50"/>
  <c r="T386" i="50" l="1"/>
  <c r="X386" i="50" l="1"/>
  <c r="Z386" i="50" s="1"/>
  <c r="Y386" i="50"/>
  <c r="S387" i="50" l="1"/>
  <c r="V387" i="50"/>
  <c r="U387" i="50"/>
  <c r="T387" i="50" l="1"/>
  <c r="X387" i="50" l="1"/>
  <c r="Z387" i="50" s="1"/>
  <c r="Y387" i="50"/>
  <c r="V388" i="50" l="1"/>
  <c r="U388" i="50"/>
  <c r="T388" i="50" s="1"/>
  <c r="S388" i="50"/>
  <c r="X388" i="50" l="1"/>
  <c r="Z388" i="50" s="1"/>
  <c r="Y388" i="50"/>
  <c r="S389" i="50" l="1"/>
  <c r="V389" i="50"/>
  <c r="U389" i="50"/>
  <c r="T389" i="50" s="1"/>
  <c r="X389" i="50" l="1"/>
  <c r="Z389" i="50" s="1"/>
  <c r="Y389" i="50"/>
  <c r="U390" i="50" l="1"/>
  <c r="T390" i="50" s="1"/>
  <c r="V390" i="50"/>
  <c r="S390" i="50"/>
  <c r="Y390" i="50" l="1"/>
  <c r="X390" i="50"/>
  <c r="Z390" i="50" s="1"/>
  <c r="U391" i="50" l="1"/>
  <c r="T391" i="50" s="1"/>
  <c r="S391" i="50"/>
  <c r="V391" i="50"/>
  <c r="Y391" i="50" l="1"/>
  <c r="X391" i="50"/>
  <c r="Z391" i="50" s="1"/>
  <c r="V392" i="50" l="1"/>
  <c r="S392" i="50"/>
  <c r="U392" i="50"/>
  <c r="T392" i="50" l="1"/>
  <c r="X392" i="50" l="1"/>
  <c r="Z392" i="50" s="1"/>
  <c r="Y392" i="50"/>
  <c r="U393" i="50" l="1"/>
  <c r="V393" i="50"/>
  <c r="S393" i="50"/>
  <c r="T393" i="50" l="1"/>
  <c r="X393" i="50" l="1"/>
  <c r="Z393" i="50" s="1"/>
  <c r="Y393" i="50"/>
  <c r="U394" i="50" l="1"/>
  <c r="S394" i="50"/>
  <c r="V394" i="50"/>
  <c r="T394" i="50" l="1"/>
  <c r="Y394" i="50" l="1"/>
  <c r="X394" i="50"/>
  <c r="Z394" i="50" s="1"/>
  <c r="V395" i="50" l="1"/>
  <c r="S395" i="50"/>
  <c r="U395" i="50"/>
  <c r="T395" i="50" l="1"/>
  <c r="Y395" i="50" l="1"/>
  <c r="X395" i="50"/>
  <c r="Z395" i="50" s="1"/>
  <c r="V396" i="50" l="1"/>
  <c r="U396" i="50"/>
  <c r="S396" i="50"/>
  <c r="T396" i="50" l="1"/>
  <c r="Y396" i="50" l="1"/>
  <c r="X396" i="50"/>
  <c r="Z396" i="50" s="1"/>
  <c r="U397" i="50" l="1"/>
  <c r="S397" i="50"/>
  <c r="V397" i="50"/>
  <c r="T397" i="50" l="1"/>
  <c r="Y397" i="50" l="1"/>
  <c r="X397" i="50"/>
  <c r="Z397" i="50" s="1"/>
  <c r="V398" i="50" l="1"/>
  <c r="S398" i="50"/>
  <c r="U398" i="50"/>
  <c r="T398" i="50" l="1"/>
  <c r="Y398" i="50" l="1"/>
  <c r="X398" i="50"/>
  <c r="Z398" i="50" s="1"/>
  <c r="V399" i="50" l="1"/>
  <c r="S399" i="50"/>
  <c r="U399" i="50"/>
  <c r="T399" i="50" l="1"/>
  <c r="X399" i="50" l="1"/>
  <c r="Z399" i="50" s="1"/>
  <c r="Y399" i="50"/>
  <c r="V400" i="50" l="1"/>
  <c r="S400" i="50"/>
  <c r="U400" i="50"/>
  <c r="T400" i="50" l="1"/>
  <c r="Y400" i="50" l="1"/>
  <c r="X400" i="50"/>
  <c r="Z400" i="50" s="1"/>
  <c r="U401" i="50" l="1"/>
  <c r="S401" i="50"/>
  <c r="V401" i="50"/>
  <c r="T401" i="50" l="1"/>
  <c r="Y401" i="50" l="1"/>
  <c r="X401" i="50"/>
  <c r="Z401" i="50" s="1"/>
  <c r="V402" i="50" l="1"/>
  <c r="S402" i="50"/>
  <c r="U402" i="50"/>
  <c r="T402" i="50" s="1"/>
  <c r="X402" i="50" l="1"/>
  <c r="Z402" i="50" s="1"/>
  <c r="Y402" i="50"/>
  <c r="V403" i="50" l="1"/>
  <c r="U403" i="50"/>
  <c r="T403" i="50" s="1"/>
  <c r="S403" i="50"/>
  <c r="Y403" i="50" l="1"/>
  <c r="X403" i="50"/>
  <c r="Z403" i="50" s="1"/>
  <c r="S404" i="50" l="1"/>
  <c r="V404" i="50"/>
  <c r="U404" i="50"/>
  <c r="T404" i="50" s="1"/>
  <c r="X404" i="50" l="1"/>
  <c r="Z404" i="50" s="1"/>
  <c r="Y404" i="50"/>
  <c r="V405" i="50" l="1"/>
  <c r="S405" i="50"/>
  <c r="U405" i="50"/>
  <c r="T405" i="50" s="1"/>
  <c r="X405" i="50" l="1"/>
  <c r="Z405" i="50" s="1"/>
  <c r="Y405" i="50"/>
  <c r="U406" i="50" l="1"/>
  <c r="T406" i="50" s="1"/>
  <c r="V406" i="50"/>
  <c r="S406" i="50"/>
  <c r="X406" i="50" l="1"/>
  <c r="Z406" i="50" s="1"/>
  <c r="Y406" i="50"/>
  <c r="S407" i="50" l="1"/>
  <c r="U407" i="50"/>
  <c r="T407" i="50" s="1"/>
  <c r="V407" i="50"/>
  <c r="X407" i="50" l="1"/>
  <c r="Z407" i="50" s="1"/>
  <c r="Y407" i="50"/>
  <c r="S408" i="50" l="1"/>
  <c r="V408" i="50"/>
  <c r="U408" i="50"/>
  <c r="T408" i="50" s="1"/>
  <c r="X408" i="50" l="1"/>
  <c r="Z408" i="50" s="1"/>
  <c r="Y408" i="50"/>
  <c r="S409" i="50" l="1"/>
  <c r="V409" i="50"/>
  <c r="U409" i="50"/>
  <c r="T409" i="50" s="1"/>
  <c r="X409" i="50" l="1"/>
  <c r="Z409" i="50" s="1"/>
  <c r="Y409" i="50"/>
  <c r="V410" i="50" l="1"/>
  <c r="S410" i="50"/>
  <c r="U410" i="50"/>
  <c r="T410" i="50" s="1"/>
  <c r="X410" i="50" l="1"/>
  <c r="Z410" i="50" s="1"/>
  <c r="Y410" i="50"/>
  <c r="S411" i="50" l="1"/>
  <c r="V411" i="50"/>
  <c r="U411" i="50"/>
  <c r="T411" i="50" s="1"/>
  <c r="X411" i="50" l="1"/>
  <c r="Z411" i="50" s="1"/>
  <c r="Y411" i="50"/>
  <c r="V412" i="50" l="1"/>
  <c r="S412" i="50"/>
  <c r="U412" i="50"/>
  <c r="I38" i="50" l="1"/>
  <c r="I41" i="50" s="1"/>
  <c r="M40" i="28" s="1"/>
  <c r="E38" i="50"/>
  <c r="E41" i="50" s="1"/>
  <c r="I40" i="28" s="1"/>
  <c r="C37" i="50"/>
  <c r="C40" i="50" s="1"/>
  <c r="G39" i="28" s="1"/>
  <c r="D38" i="50"/>
  <c r="D41" i="50" s="1"/>
  <c r="H40" i="28" s="1"/>
  <c r="K37" i="50"/>
  <c r="K40" i="50" s="1"/>
  <c r="O39" i="28" s="1"/>
  <c r="J38" i="50"/>
  <c r="J41" i="50" s="1"/>
  <c r="N40" i="28" s="1"/>
  <c r="I37" i="50"/>
  <c r="I40" i="50" s="1"/>
  <c r="M39" i="28" s="1"/>
  <c r="C38" i="50"/>
  <c r="C41" i="50" s="1"/>
  <c r="G40" i="28" s="1"/>
  <c r="H37" i="50"/>
  <c r="H40" i="50" s="1"/>
  <c r="L39" i="28" s="1"/>
  <c r="F37" i="50"/>
  <c r="F40" i="50" s="1"/>
  <c r="J39" i="28" s="1"/>
  <c r="G37" i="50"/>
  <c r="G40" i="50" s="1"/>
  <c r="K39" i="28" s="1"/>
  <c r="J37" i="50"/>
  <c r="J40" i="50" s="1"/>
  <c r="F38" i="50"/>
  <c r="F41" i="50" s="1"/>
  <c r="J40" i="28" s="1"/>
  <c r="K38" i="50"/>
  <c r="K41" i="50" s="1"/>
  <c r="O40" i="28" s="1"/>
  <c r="E37" i="50"/>
  <c r="E40" i="50" s="1"/>
  <c r="D37" i="50"/>
  <c r="D40" i="50" s="1"/>
  <c r="L38" i="50"/>
  <c r="L41" i="50" s="1"/>
  <c r="P40" i="28" s="1"/>
  <c r="L37" i="50"/>
  <c r="L40" i="50" s="1"/>
  <c r="P39" i="28" s="1"/>
  <c r="H38" i="50"/>
  <c r="H41" i="50" s="1"/>
  <c r="L40" i="28" s="1"/>
  <c r="G38" i="50"/>
  <c r="G41" i="50" s="1"/>
  <c r="K40" i="28" s="1"/>
  <c r="T412" i="50"/>
  <c r="D46" i="50" l="1"/>
  <c r="H39" i="28"/>
  <c r="H41" i="28" s="1"/>
  <c r="J46" i="50"/>
  <c r="N39" i="28"/>
  <c r="N41" i="28" s="1"/>
  <c r="E46" i="50"/>
  <c r="I39" i="28"/>
  <c r="I41" i="28" s="1"/>
  <c r="I46" i="50"/>
  <c r="K42" i="28"/>
  <c r="K41" i="28"/>
  <c r="H40" i="51"/>
  <c r="N17" i="25"/>
  <c r="C11" i="69" s="1"/>
  <c r="G41" i="28"/>
  <c r="H38" i="51"/>
  <c r="H39" i="51" s="1"/>
  <c r="N15" i="25"/>
  <c r="G18" i="25" s="1"/>
  <c r="J38" i="51"/>
  <c r="J39" i="51" s="1"/>
  <c r="G42" i="28"/>
  <c r="T54" i="1" s="1"/>
  <c r="Q15" i="25"/>
  <c r="P15" i="25"/>
  <c r="H18" i="25" s="1"/>
  <c r="P17" i="25"/>
  <c r="C12" i="69" s="1"/>
  <c r="J40" i="51"/>
  <c r="Q17" i="25"/>
  <c r="X412" i="50"/>
  <c r="Z412" i="50" s="1"/>
  <c r="Y412" i="50"/>
  <c r="L41" i="28"/>
  <c r="L42" i="28"/>
  <c r="G46" i="50"/>
  <c r="C46" i="50"/>
  <c r="L46" i="50"/>
  <c r="V61" i="28"/>
  <c r="R74" i="28" s="1"/>
  <c r="O42" i="28"/>
  <c r="O41" i="28"/>
  <c r="F46" i="50"/>
  <c r="P42" i="28"/>
  <c r="Q74" i="28"/>
  <c r="P41" i="28"/>
  <c r="J42" i="28"/>
  <c r="J41" i="28"/>
  <c r="H46" i="50"/>
  <c r="K46" i="50"/>
  <c r="M41" i="28"/>
  <c r="M42" i="28"/>
  <c r="H42" i="28" l="1"/>
  <c r="U54" i="1" s="1"/>
  <c r="I42" i="28"/>
  <c r="N42" i="28"/>
  <c r="G82" i="62"/>
  <c r="D39" i="36"/>
  <c r="E82" i="62"/>
  <c r="D13" i="62"/>
  <c r="B39" i="36"/>
  <c r="I13" i="36"/>
  <c r="Q16" i="25"/>
  <c r="Q18" i="25" s="1"/>
  <c r="I18" i="25"/>
  <c r="T70" i="28"/>
  <c r="T67" i="28"/>
  <c r="T72" i="28"/>
  <c r="T68" i="28"/>
  <c r="T65" i="28"/>
  <c r="T69" i="28"/>
  <c r="T73" i="28"/>
  <c r="Q73" i="28" s="1"/>
  <c r="T71" i="28"/>
  <c r="T66" i="28"/>
  <c r="T64" i="28"/>
  <c r="K68" i="28"/>
  <c r="K73" i="28"/>
  <c r="K72" i="28"/>
  <c r="K71" i="28"/>
  <c r="K74" i="28"/>
  <c r="K70" i="28"/>
  <c r="K69" i="28"/>
  <c r="J77" i="28"/>
  <c r="N77" i="28"/>
  <c r="O72" i="28"/>
  <c r="O73" i="28"/>
  <c r="O74" i="28"/>
  <c r="I73" i="28"/>
  <c r="I66" i="28"/>
  <c r="H77" i="28"/>
  <c r="I70" i="28"/>
  <c r="I74" i="28"/>
  <c r="I72" i="28"/>
  <c r="I68" i="28"/>
  <c r="I67" i="28"/>
  <c r="I71" i="28"/>
  <c r="I69" i="28"/>
  <c r="D41" i="36"/>
  <c r="G84" i="62"/>
  <c r="J41" i="51"/>
  <c r="I39" i="51"/>
  <c r="B41" i="36"/>
  <c r="E84" i="62"/>
  <c r="M71" i="28"/>
  <c r="M70" i="28"/>
  <c r="M73" i="28"/>
  <c r="L77" i="28"/>
  <c r="M74" i="28"/>
  <c r="M72" i="28"/>
  <c r="P16" i="25"/>
  <c r="D38" i="36"/>
  <c r="G81" i="62"/>
  <c r="N16" i="25"/>
  <c r="D51" i="62" s="1"/>
  <c r="D53" i="62" s="1"/>
  <c r="B38" i="36"/>
  <c r="E81" i="62"/>
  <c r="N74" i="28"/>
  <c r="N72" i="28"/>
  <c r="N71" i="28"/>
  <c r="M77" i="28"/>
  <c r="N73" i="28"/>
  <c r="J69" i="28"/>
  <c r="J67" i="28"/>
  <c r="J73" i="28"/>
  <c r="J72" i="28"/>
  <c r="J70" i="28"/>
  <c r="J68" i="28"/>
  <c r="J71" i="28"/>
  <c r="J74" i="28"/>
  <c r="I77" i="28"/>
  <c r="O77" i="28"/>
  <c r="P73" i="28"/>
  <c r="P74" i="28"/>
  <c r="G39" i="51"/>
  <c r="H41" i="51"/>
  <c r="K77" i="28"/>
  <c r="L70" i="28"/>
  <c r="L74" i="28"/>
  <c r="L71" i="28"/>
  <c r="L73" i="28"/>
  <c r="L69" i="28"/>
  <c r="L72" i="28"/>
  <c r="H70" i="28"/>
  <c r="H67" i="28"/>
  <c r="G77" i="28"/>
  <c r="H72" i="28"/>
  <c r="G45" i="28"/>
  <c r="H68" i="28"/>
  <c r="H69" i="28"/>
  <c r="H73" i="28"/>
  <c r="H71" i="28"/>
  <c r="H65" i="28"/>
  <c r="H66" i="28"/>
  <c r="Q67" i="28" l="1"/>
  <c r="K67" i="28" s="1"/>
  <c r="F67" i="28" s="1"/>
  <c r="J45" i="28" s="1"/>
  <c r="Q69" i="28"/>
  <c r="M69" i="28" s="1"/>
  <c r="F69" i="28" s="1"/>
  <c r="L45" i="28" s="1"/>
  <c r="Q70" i="28"/>
  <c r="N70" i="28" s="1"/>
  <c r="F70" i="28" s="1"/>
  <c r="H38" i="25" s="1"/>
  <c r="Q66" i="28"/>
  <c r="J66" i="28" s="1"/>
  <c r="F66" i="28" s="1"/>
  <c r="Q72" i="28"/>
  <c r="P72" i="28" s="1"/>
  <c r="F72" i="28" s="1"/>
  <c r="O45" i="28" s="1"/>
  <c r="Q68" i="28"/>
  <c r="L68" i="28" s="1"/>
  <c r="F68" i="28" s="1"/>
  <c r="H37" i="25" s="1"/>
  <c r="Q71" i="28"/>
  <c r="O71" i="28" s="1"/>
  <c r="F71" i="28" s="1"/>
  <c r="N45" i="28" s="1"/>
  <c r="Q65" i="28"/>
  <c r="I65" i="28" s="1"/>
  <c r="F65" i="28" s="1"/>
  <c r="S54" i="1"/>
  <c r="F73" i="28"/>
  <c r="Q64" i="28"/>
  <c r="H64" i="28" s="1"/>
  <c r="F64" i="28" s="1"/>
  <c r="D52" i="62"/>
  <c r="B13" i="36"/>
  <c r="G83" i="62"/>
  <c r="P18" i="25"/>
  <c r="O16" i="25"/>
  <c r="D40" i="36"/>
  <c r="N18" i="25"/>
  <c r="C14" i="69" s="1"/>
  <c r="M16" i="25"/>
  <c r="B40" i="36"/>
  <c r="E83" i="62"/>
  <c r="B12" i="36"/>
  <c r="F74" i="28"/>
  <c r="C17" i="69" l="1"/>
  <c r="C15" i="69"/>
  <c r="M45" i="28"/>
  <c r="K45" i="28"/>
  <c r="O18" i="25"/>
  <c r="D42" i="36"/>
  <c r="D56" i="62"/>
  <c r="G85" i="62"/>
  <c r="P45" i="28"/>
  <c r="H39" i="25"/>
  <c r="G17" i="25"/>
  <c r="F83" i="62"/>
  <c r="C40" i="36"/>
  <c r="M18" i="25"/>
  <c r="D55" i="62"/>
  <c r="C16" i="69" s="1"/>
  <c r="E85" i="62"/>
  <c r="B42" i="36"/>
  <c r="E40" i="36"/>
  <c r="H17" i="25"/>
  <c r="R54" i="1" s="1"/>
  <c r="H83" i="62"/>
  <c r="D54" i="62"/>
  <c r="D57" i="62" l="1"/>
  <c r="U13" i="1"/>
  <c r="U24" i="1"/>
  <c r="H85" i="62"/>
  <c r="B15" i="36"/>
  <c r="E42" i="36" s="1"/>
  <c r="D58" i="62"/>
  <c r="S24" i="1"/>
  <c r="S13" i="1"/>
  <c r="B14" i="36"/>
  <c r="C42" i="36" s="1"/>
  <c r="F85"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Lianna</author>
  </authors>
  <commentList>
    <comment ref="I1" authorId="0" shapeId="0" xr:uid="{00000000-0006-0000-0000-000001000000}">
      <text>
        <r>
          <rPr>
            <b/>
            <sz val="9"/>
            <color indexed="81"/>
            <rFont val="Tahoma"/>
            <family val="2"/>
          </rPr>
          <t>Lianna:</t>
        </r>
        <r>
          <rPr>
            <sz val="9"/>
            <color indexed="81"/>
            <rFont val="Tahoma"/>
            <family val="2"/>
          </rPr>
          <t xml:space="preserve">
Find out if this is still used anywhere</t>
        </r>
      </text>
    </comment>
    <comment ref="F25" authorId="0" shapeId="0" xr:uid="{00000000-0006-0000-0000-000002000000}">
      <text>
        <r>
          <rPr>
            <b/>
            <sz val="9"/>
            <color indexed="81"/>
            <rFont val="Tahoma"/>
            <family val="2"/>
          </rPr>
          <t>Scheduled, not current. OK?</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Sayward, Ken</author>
  </authors>
  <commentList>
    <comment ref="A10" authorId="0" shapeId="0" xr:uid="{00000000-0006-0000-0500-000001000000}">
      <text>
        <r>
          <rPr>
            <sz val="9"/>
            <color indexed="81"/>
            <rFont val="Tahoma"/>
            <family val="2"/>
          </rPr>
          <t>This columns is used to determine comparison category for Rent Comp graphs in MNet Offering. NOT displayed in Rent Roll Summary.</t>
        </r>
      </text>
    </comment>
    <comment ref="B10" authorId="0" shapeId="0" xr:uid="{00000000-0006-0000-0500-000002000000}">
      <text>
        <r>
          <rPr>
            <sz val="9"/>
            <color indexed="81"/>
            <rFont val="Tahoma"/>
            <family val="2"/>
          </rPr>
          <t>This column is used to create the unit mix charts that appear on the Rent Roll Summary output page.</t>
        </r>
      </text>
    </comment>
    <comment ref="C10" authorId="0" shapeId="0" xr:uid="{00000000-0006-0000-0500-000003000000}">
      <text>
        <r>
          <rPr>
            <sz val="9"/>
            <color indexed="81"/>
            <rFont val="Tahoma"/>
            <family val="2"/>
          </rPr>
          <t>This column is used to produce the Rent Roll Summary output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Lianna</author>
  </authors>
  <commentList>
    <comment ref="I69" authorId="0" shapeId="0" xr:uid="{00000000-0006-0000-0600-000001000000}">
      <text>
        <r>
          <rPr>
            <b/>
            <sz val="9"/>
            <color indexed="81"/>
            <rFont val="Tahoma"/>
            <family val="2"/>
          </rPr>
          <t>Scheduled, not current. OK?</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Ritz, Michael</author>
    <author>Horton, Robert</author>
  </authors>
  <commentList>
    <comment ref="B9" authorId="0" shapeId="0" xr:uid="{00000000-0006-0000-0900-000001000000}">
      <text>
        <r>
          <rPr>
            <sz val="9"/>
            <color rgb="FF000000"/>
            <rFont val="Tahoma"/>
            <family val="2"/>
          </rPr>
          <t xml:space="preserve">If you are analyzing an unpriced listing, please enter a price in which to base Debt LTV's off of.  There will be no indication of price in the output.
</t>
        </r>
      </text>
    </comment>
    <comment ref="B31" authorId="1" shapeId="0" xr:uid="{00000000-0006-0000-0900-000002000000}">
      <text>
        <r>
          <rPr>
            <sz val="11"/>
            <color rgb="FF000000"/>
            <rFont val="Times New Roman"/>
            <family val="1"/>
          </rPr>
          <t xml:space="preserve">This area must be filled in to obtain accurate IRR analysis. 
</t>
        </r>
      </text>
    </comment>
    <comment ref="B32" authorId="1" shapeId="0" xr:uid="{00000000-0006-0000-0900-000003000000}">
      <text>
        <r>
          <rPr>
            <sz val="9"/>
            <color rgb="FF000000"/>
            <rFont val="Tahoma"/>
            <family val="2"/>
          </rPr>
          <t xml:space="preserve">Includes all closing costs, commissions, fees etc. </t>
        </r>
      </text>
    </comment>
    <comment ref="B34" authorId="1" shapeId="0" xr:uid="{00000000-0006-0000-0900-000004000000}">
      <text>
        <r>
          <rPr>
            <sz val="11"/>
            <color indexed="81"/>
            <rFont val="Times New Roman"/>
            <family val="1"/>
          </rPr>
          <t>This field helps populate increments for  the proposed price summary page. This provides a range matrix of pricing  options with corresponding returns on investments for that price point.</t>
        </r>
        <r>
          <rPr>
            <sz val="9"/>
            <color indexed="81"/>
            <rFont val="Arial Narrow"/>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Sayward, Ken</author>
  </authors>
  <commentList>
    <comment ref="B10" authorId="0" shapeId="0" xr:uid="{00000000-0006-0000-0D00-000001000000}">
      <text>
        <r>
          <rPr>
            <sz val="9"/>
            <color indexed="81"/>
            <rFont val="Tahoma"/>
            <family val="2"/>
          </rPr>
          <t>This column is used to create the unit mix charts that appear on the Rent Roll Summary output page.</t>
        </r>
      </text>
    </comment>
    <comment ref="C10" authorId="0" shapeId="0" xr:uid="{00000000-0006-0000-0D00-000002000000}">
      <text>
        <r>
          <rPr>
            <sz val="9"/>
            <color indexed="81"/>
            <rFont val="Tahoma"/>
            <family val="2"/>
          </rPr>
          <t>This column is used to produce the Rent Roll Summary output table.</t>
        </r>
      </text>
    </comment>
    <comment ref="K10" authorId="0" shapeId="0" xr:uid="{00000000-0006-0000-0D00-000003000000}">
      <text>
        <r>
          <rPr>
            <sz val="9"/>
            <color indexed="81"/>
            <rFont val="Tahoma"/>
            <family val="2"/>
          </rPr>
          <t xml:space="preserve">Schedule Rent is defined as the </t>
        </r>
        <r>
          <rPr>
            <u/>
            <sz val="9"/>
            <color indexed="81"/>
            <rFont val="Tahoma"/>
            <family val="2"/>
          </rPr>
          <t>Current Rent</t>
        </r>
        <r>
          <rPr>
            <sz val="9"/>
            <color indexed="81"/>
            <rFont val="Tahoma"/>
            <family val="2"/>
          </rPr>
          <t xml:space="preserve"> for occupied units, and the </t>
        </r>
        <r>
          <rPr>
            <u/>
            <sz val="9"/>
            <color indexed="81"/>
            <rFont val="Tahoma"/>
            <family val="2"/>
          </rPr>
          <t>Potential Rent</t>
        </r>
        <r>
          <rPr>
            <sz val="9"/>
            <color indexed="81"/>
            <rFont val="Tahoma"/>
            <family val="2"/>
          </rPr>
          <t xml:space="preserve"> for vacant units. It is a calculated value in this model.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Sayward, Ken</author>
  </authors>
  <commentList>
    <comment ref="E24" authorId="0" shapeId="0" xr:uid="{00000000-0006-0000-0B00-000001000000}">
      <text>
        <r>
          <rPr>
            <sz val="9"/>
            <color indexed="81"/>
            <rFont val="Tahoma"/>
            <family val="2"/>
          </rPr>
          <t>For an assumed loan, you may want to consider removing the prepayment penalty for assumed loan. You can do that on the input tab, under Seller's existing debt section.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Horton, Robert</author>
  </authors>
  <commentList>
    <comment ref="B8" authorId="0" shapeId="0" xr:uid="{00000000-0006-0000-0C00-000001000000}">
      <text>
        <r>
          <rPr>
            <sz val="12"/>
            <color indexed="81"/>
            <rFont val="Times New Roman"/>
            <family val="1"/>
          </rPr>
          <t xml:space="preserve">Enter Unit </t>
        </r>
        <r>
          <rPr>
            <b/>
            <sz val="12"/>
            <color indexed="81"/>
            <rFont val="Times New Roman"/>
            <family val="1"/>
          </rPr>
          <t>Category</t>
        </r>
        <r>
          <rPr>
            <sz val="12"/>
            <color indexed="81"/>
            <rFont val="Times New Roman"/>
            <family val="1"/>
          </rPr>
          <t xml:space="preserve"> Type in the space provided. i.e. 1 Bedroom/1 Bathroom , 2 Bedroom 2 Bath, etc. etc.</t>
        </r>
      </text>
    </comment>
    <comment ref="C8" authorId="0" shapeId="0" xr:uid="{00000000-0006-0000-0C00-000002000000}">
      <text>
        <r>
          <rPr>
            <sz val="11"/>
            <color indexed="81"/>
            <rFont val="Times New Roman"/>
            <family val="1"/>
          </rPr>
          <t xml:space="preserve">Enter </t>
        </r>
        <r>
          <rPr>
            <b/>
            <sz val="11"/>
            <color indexed="81"/>
            <rFont val="Times New Roman"/>
            <family val="1"/>
          </rPr>
          <t>Sub-Category</t>
        </r>
        <r>
          <rPr>
            <sz val="11"/>
            <color indexed="81"/>
            <rFont val="Times New Roman"/>
            <family val="1"/>
          </rPr>
          <t xml:space="preserve"> units that fall under the main category.(i.e. 1 Bedroom/ 1 Bath Patio, 1 Bedroom/ 1 Bath Deluxe etc etc) Fill in appropriate rent roll information for each column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Horton, Robert</author>
  </authors>
  <commentList>
    <comment ref="E5" authorId="0" shapeId="0" xr:uid="{00000000-0006-0000-1400-000001000000}">
      <text>
        <r>
          <rPr>
            <sz val="14"/>
            <color rgb="FF000000"/>
            <rFont val="Arial Narrow"/>
            <family val="2"/>
          </rPr>
          <t xml:space="preserve">Provide yearly </t>
        </r>
        <r>
          <rPr>
            <b/>
            <sz val="14"/>
            <color rgb="FF000000"/>
            <rFont val="Arial Narrow"/>
            <family val="2"/>
          </rPr>
          <t>growth rates</t>
        </r>
        <r>
          <rPr>
            <sz val="14"/>
            <color rgb="FF000000"/>
            <rFont val="Arial Narrow"/>
            <family val="2"/>
          </rPr>
          <t xml:space="preserve"> for all the areas shaded in green, this is used to provide a more accurate cash flow model.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Zerbib, Sebastien</author>
  </authors>
  <commentList>
    <comment ref="F6" authorId="0" shapeId="0" xr:uid="{00000000-0006-0000-1900-000001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 ref="F7" authorId="0" shapeId="0" xr:uid="{00000000-0006-0000-1900-000002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 ref="F8" authorId="0" shapeId="0" xr:uid="{00000000-0006-0000-1900-000003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 ref="F9" authorId="0" shapeId="0" xr:uid="{00000000-0006-0000-1900-000004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<sst xmlns="http://schemas.openxmlformats.org/spreadsheetml/2006/main" count="9688" uniqueCount="1950">
  <si>
    <t>Price</t>
  </si>
  <si>
    <t>Activity ID</t>
  </si>
  <si>
    <t>this is for the summary of terms page</t>
  </si>
  <si>
    <t>Down</t>
  </si>
  <si>
    <t>Price/Unit</t>
  </si>
  <si>
    <t>Modeled</t>
  </si>
  <si>
    <t>Existing</t>
  </si>
  <si>
    <t>Loan Amount</t>
  </si>
  <si>
    <t>Price/SF</t>
  </si>
  <si>
    <t>proposed or existing</t>
  </si>
  <si>
    <t>Interest Rate</t>
  </si>
  <si>
    <t>Loan Type</t>
  </si>
  <si>
    <t>Amortization</t>
  </si>
  <si>
    <t>Include Notes Page</t>
  </si>
  <si>
    <t>Loan -to-Purchase Ratio</t>
  </si>
  <si>
    <t>OD - Label 1</t>
  </si>
  <si>
    <t>Term</t>
  </si>
  <si>
    <t>OD - Label 2</t>
  </si>
  <si>
    <t>Cap 1</t>
  </si>
  <si>
    <t>Amorization Period</t>
  </si>
  <si>
    <t>Due Date</t>
  </si>
  <si>
    <t>Cap 2</t>
  </si>
  <si>
    <t>Loan Constant</t>
  </si>
  <si>
    <t>Monthly Payment</t>
  </si>
  <si>
    <t>GRM 1</t>
  </si>
  <si>
    <t>Annual Debt Service Payment</t>
  </si>
  <si>
    <t>Prepayment Penalty</t>
  </si>
  <si>
    <t>GRM 2</t>
  </si>
  <si>
    <t>Maturity</t>
  </si>
  <si>
    <t>Lender Name</t>
  </si>
  <si>
    <t>NCFADS 1</t>
  </si>
  <si>
    <t>Outstanding Loan Balance at Maturity</t>
  </si>
  <si>
    <t>NCFADS 2</t>
  </si>
  <si>
    <t>Debt Service Ratio</t>
  </si>
  <si>
    <t>Total Return 1</t>
  </si>
  <si>
    <t>Total Return 2</t>
  </si>
  <si>
    <t>Year Built</t>
  </si>
  <si>
    <t xml:space="preserve">Current </t>
  </si>
  <si>
    <t>Avg</t>
  </si>
  <si>
    <t>Monthly</t>
  </si>
  <si>
    <t>Potential</t>
  </si>
  <si>
    <t>Unit Count</t>
  </si>
  <si>
    <t>Unit Type</t>
  </si>
  <si>
    <t>Average Square Feet</t>
  </si>
  <si>
    <t>Actual Rents</t>
  </si>
  <si>
    <t>Rent/SF</t>
  </si>
  <si>
    <t>Income</t>
  </si>
  <si>
    <t>Rents</t>
  </si>
  <si>
    <t>Totals:</t>
  </si>
  <si>
    <t>Rentable SF</t>
  </si>
  <si>
    <t>Total Current Mo. Income</t>
  </si>
  <si>
    <t>Total Potential Mo. Income</t>
  </si>
  <si>
    <t>Operating Data</t>
  </si>
  <si>
    <t>Income:</t>
  </si>
  <si>
    <t>Lot Size</t>
  </si>
  <si>
    <t>Average Unit Rent Table</t>
  </si>
  <si>
    <t>Avg Rent/SF</t>
  </si>
  <si>
    <t>Avg SF</t>
  </si>
  <si>
    <t>1 Bedroom</t>
  </si>
  <si>
    <t xml:space="preserve">Effective Gross Income </t>
  </si>
  <si>
    <t>2 Bedroom</t>
  </si>
  <si>
    <t xml:space="preserve">Less Expenses </t>
  </si>
  <si>
    <t>3 Bedroom</t>
  </si>
  <si>
    <t xml:space="preserve">Net Operating Income </t>
  </si>
  <si>
    <t>4 Bedroom</t>
  </si>
  <si>
    <t>Cash Flow</t>
  </si>
  <si>
    <t>5 Bedroom</t>
  </si>
  <si>
    <t xml:space="preserve">Debt Service </t>
  </si>
  <si>
    <t>Efficiency</t>
  </si>
  <si>
    <t xml:space="preserve">Debt Service Ratio </t>
  </si>
  <si>
    <t>Studio</t>
  </si>
  <si>
    <t xml:space="preserve">Net Cash Flow After Debt Service </t>
  </si>
  <si>
    <t>Bachelor</t>
  </si>
  <si>
    <t>Principal Reduction</t>
  </si>
  <si>
    <t xml:space="preserve">Total Return </t>
  </si>
  <si>
    <t>Occupancy</t>
  </si>
  <si>
    <t>Expenses:</t>
  </si>
  <si>
    <t>Utilities</t>
  </si>
  <si>
    <t>Current</t>
  </si>
  <si>
    <t>2016 Projection</t>
  </si>
  <si>
    <t xml:space="preserve">Total Expenses </t>
  </si>
  <si>
    <t xml:space="preserve">Expenses Per Unit </t>
  </si>
  <si>
    <t>Expenses Per SF</t>
  </si>
  <si>
    <t xml:space="preserve">% of EGI </t>
  </si>
  <si>
    <t>Equity Return Options</t>
  </si>
  <si>
    <t>Seller's Net Proceeds</t>
  </si>
  <si>
    <t>Terms</t>
  </si>
  <si>
    <t>Fee Simple</t>
  </si>
  <si>
    <t>Valid Transition Versions</t>
  </si>
  <si>
    <t>MRES</t>
  </si>
  <si>
    <t>1.4</t>
  </si>
  <si>
    <t>Operating Statement Columns</t>
  </si>
  <si>
    <t>Leasehold Interest</t>
  </si>
  <si>
    <t>1.5</t>
  </si>
  <si>
    <t>NumColumns</t>
  </si>
  <si>
    <t>Leased Fee/Ground Fee</t>
  </si>
  <si>
    <t>2.0</t>
  </si>
  <si>
    <t>Value 1</t>
  </si>
  <si>
    <t>Partnership Interest</t>
  </si>
  <si>
    <t>2.1</t>
  </si>
  <si>
    <t>Value 2</t>
  </si>
  <si>
    <t>2.2</t>
  </si>
  <si>
    <t>Value 3</t>
  </si>
  <si>
    <t>2.3</t>
  </si>
  <si>
    <t>Value 4</t>
  </si>
  <si>
    <t>Seller</t>
  </si>
  <si>
    <t>2.4</t>
  </si>
  <si>
    <t>Value 5</t>
  </si>
  <si>
    <t>Assumption</t>
  </si>
  <si>
    <t>Proposed New</t>
  </si>
  <si>
    <t>Other</t>
  </si>
  <si>
    <t>All Cash</t>
  </si>
  <si>
    <t>One</t>
  </si>
  <si>
    <t>Two</t>
  </si>
  <si>
    <t>Thr</t>
  </si>
  <si>
    <t>Fou</t>
  </si>
  <si>
    <t>Fiv</t>
  </si>
  <si>
    <t>Bac</t>
  </si>
  <si>
    <t>Eff</t>
  </si>
  <si>
    <t>Stu</t>
  </si>
  <si>
    <t>Hide</t>
  </si>
  <si>
    <t>Refinance</t>
  </si>
  <si>
    <t>Sell</t>
  </si>
  <si>
    <t>Sell &amp; Exchange</t>
  </si>
  <si>
    <t>Hold</t>
  </si>
  <si>
    <t>Used?</t>
  </si>
  <si>
    <t>Yes</t>
  </si>
  <si>
    <t>No</t>
  </si>
  <si>
    <t>$I$17</t>
  </si>
  <si>
    <t>Data 1</t>
  </si>
  <si>
    <t>$C$17</t>
  </si>
  <si>
    <t>Data 2</t>
  </si>
  <si>
    <t>Data 3</t>
  </si>
  <si>
    <t>Data 4</t>
  </si>
  <si>
    <t>$K$18</t>
  </si>
  <si>
    <t>Data 5</t>
  </si>
  <si>
    <t>Data 6</t>
  </si>
  <si>
    <t>Data 7</t>
  </si>
  <si>
    <t>Data 8</t>
  </si>
  <si>
    <t>Total Fees and Transfer Taxes</t>
  </si>
  <si>
    <t>Yes, Loan Amount is Known</t>
  </si>
  <si>
    <t>Less: City/State Capital Gains</t>
  </si>
  <si>
    <t>Yes, Loan Amount is Estimated</t>
  </si>
  <si>
    <t>Less: Federal Capital Gains</t>
  </si>
  <si>
    <t>Total Capital Gains Taxes</t>
  </si>
  <si>
    <t>Scheduled</t>
  </si>
  <si>
    <t>Sheet</t>
  </si>
  <si>
    <t>Cell</t>
  </si>
  <si>
    <t>Value</t>
  </si>
  <si>
    <t>Lookup</t>
  </si>
  <si>
    <t>Input</t>
  </si>
  <si>
    <t>B8</t>
  </si>
  <si>
    <t>B10</t>
  </si>
  <si>
    <t>Priced</t>
  </si>
  <si>
    <t>B9</t>
  </si>
  <si>
    <t>B16</t>
  </si>
  <si>
    <t>Detail</t>
  </si>
  <si>
    <t>B11</t>
  </si>
  <si>
    <t>B17</t>
  </si>
  <si>
    <t>B12</t>
  </si>
  <si>
    <t>B18</t>
  </si>
  <si>
    <t>B13</t>
  </si>
  <si>
    <t>B30</t>
  </si>
  <si>
    <t>B15</t>
  </si>
  <si>
    <t>B36</t>
  </si>
  <si>
    <t>B19</t>
  </si>
  <si>
    <t>B39</t>
  </si>
  <si>
    <t>Financed - New</t>
  </si>
  <si>
    <t>B20</t>
  </si>
  <si>
    <t>B40</t>
  </si>
  <si>
    <t>B22</t>
  </si>
  <si>
    <t>B41</t>
  </si>
  <si>
    <t>B23</t>
  </si>
  <si>
    <t>B43</t>
  </si>
  <si>
    <t>B24</t>
  </si>
  <si>
    <t>B56</t>
  </si>
  <si>
    <t>B25</t>
  </si>
  <si>
    <t>D41</t>
  </si>
  <si>
    <t>B26</t>
  </si>
  <si>
    <t>Rent Roll Detail Input</t>
  </si>
  <si>
    <t>I8</t>
  </si>
  <si>
    <t>B27</t>
  </si>
  <si>
    <t>Rent Roll Summary Input</t>
  </si>
  <si>
    <t>R12</t>
  </si>
  <si>
    <t>B28</t>
  </si>
  <si>
    <t>Rent Roll Summary</t>
  </si>
  <si>
    <t>C4</t>
  </si>
  <si>
    <t>B31</t>
  </si>
  <si>
    <t>C5</t>
  </si>
  <si>
    <t>Scheduled and Potential</t>
  </si>
  <si>
    <t>B32</t>
  </si>
  <si>
    <t>Operating Statement</t>
  </si>
  <si>
    <t>AA2</t>
  </si>
  <si>
    <t>B34</t>
  </si>
  <si>
    <t>AA3</t>
  </si>
  <si>
    <t>Total $/Year</t>
  </si>
  <si>
    <t>E37</t>
  </si>
  <si>
    <t>Pricing Detail</t>
  </si>
  <si>
    <t>V3</t>
  </si>
  <si>
    <t>GRM</t>
  </si>
  <si>
    <t>F37</t>
  </si>
  <si>
    <t>Proposal Price IRR</t>
  </si>
  <si>
    <t>Q3</t>
  </si>
  <si>
    <t>G37</t>
  </si>
  <si>
    <t>Q4</t>
  </si>
  <si>
    <t>Both</t>
  </si>
  <si>
    <t>H37</t>
  </si>
  <si>
    <t>Proposal Price</t>
  </si>
  <si>
    <t>O3</t>
  </si>
  <si>
    <t>I37</t>
  </si>
  <si>
    <t>O4</t>
  </si>
  <si>
    <t>J37</t>
  </si>
  <si>
    <t>Proposal Price IRR Unlevered</t>
  </si>
  <si>
    <t>P3</t>
  </si>
  <si>
    <t>K37</t>
  </si>
  <si>
    <t>P4</t>
  </si>
  <si>
    <t>L37</t>
  </si>
  <si>
    <t>Equity Returns Options</t>
  </si>
  <si>
    <t>I2</t>
  </si>
  <si>
    <t>M37</t>
  </si>
  <si>
    <t>F9</t>
  </si>
  <si>
    <t>N37</t>
  </si>
  <si>
    <t>F6</t>
  </si>
  <si>
    <t>Debt</t>
  </si>
  <si>
    <t>E9</t>
  </si>
  <si>
    <t>F7</t>
  </si>
  <si>
    <t>E11</t>
  </si>
  <si>
    <t>F8</t>
  </si>
  <si>
    <t>E13</t>
  </si>
  <si>
    <t>E14</t>
  </si>
  <si>
    <t>E16</t>
  </si>
  <si>
    <t>E17</t>
  </si>
  <si>
    <t>E23</t>
  </si>
  <si>
    <t>E24</t>
  </si>
  <si>
    <t>R5</t>
  </si>
  <si>
    <t>Square Footage by Unit Type</t>
  </si>
  <si>
    <t>C8</t>
  </si>
  <si>
    <t>D8</t>
  </si>
  <si>
    <t>E8</t>
  </si>
  <si>
    <t>G8</t>
  </si>
  <si>
    <t>H8</t>
  </si>
  <si>
    <t>R9</t>
  </si>
  <si>
    <t>C9</t>
  </si>
  <si>
    <t>D9</t>
  </si>
  <si>
    <t>G9</t>
  </si>
  <si>
    <t>H9</t>
  </si>
  <si>
    <t>I9</t>
  </si>
  <si>
    <t>C10</t>
  </si>
  <si>
    <t>D10</t>
  </si>
  <si>
    <t>E10</t>
  </si>
  <si>
    <t>F10</t>
  </si>
  <si>
    <t>G10</t>
  </si>
  <si>
    <t>H10</t>
  </si>
  <si>
    <t>I10</t>
  </si>
  <si>
    <t>C11</t>
  </si>
  <si>
    <t>D11</t>
  </si>
  <si>
    <t>F11</t>
  </si>
  <si>
    <t>G11</t>
  </si>
  <si>
    <t>H11</t>
  </si>
  <si>
    <t>I11</t>
  </si>
  <si>
    <t>C12</t>
  </si>
  <si>
    <t>D12</t>
  </si>
  <si>
    <t>E12</t>
  </si>
  <si>
    <t>F12</t>
  </si>
  <si>
    <t>G12</t>
  </si>
  <si>
    <t>H12</t>
  </si>
  <si>
    <t>I12</t>
  </si>
  <si>
    <t>C19</t>
  </si>
  <si>
    <t>D19</t>
  </si>
  <si>
    <t>E19</t>
  </si>
  <si>
    <t>F19</t>
  </si>
  <si>
    <t>G19</t>
  </si>
  <si>
    <t>H19</t>
  </si>
  <si>
    <t>I19</t>
  </si>
  <si>
    <t>C20</t>
  </si>
  <si>
    <t>D20</t>
  </si>
  <si>
    <t>E20</t>
  </si>
  <si>
    <t>F20</t>
  </si>
  <si>
    <t>G20</t>
  </si>
  <si>
    <t>H20</t>
  </si>
  <si>
    <t>I20</t>
  </si>
  <si>
    <t>C21</t>
  </si>
  <si>
    <t>D21</t>
  </si>
  <si>
    <t>E21</t>
  </si>
  <si>
    <t>F21</t>
  </si>
  <si>
    <t>G21</t>
  </si>
  <si>
    <t>H21</t>
  </si>
  <si>
    <t>I21</t>
  </si>
  <si>
    <t>C22</t>
  </si>
  <si>
    <t>D22</t>
  </si>
  <si>
    <t>E22</t>
  </si>
  <si>
    <t>F22</t>
  </si>
  <si>
    <t>G22</t>
  </si>
  <si>
    <t>H22</t>
  </si>
  <si>
    <t>I22</t>
  </si>
  <si>
    <t>C23</t>
  </si>
  <si>
    <t>D23</t>
  </si>
  <si>
    <t>F23</t>
  </si>
  <si>
    <t>G23</t>
  </si>
  <si>
    <t>H23</t>
  </si>
  <si>
    <t>I23</t>
  </si>
  <si>
    <t>C30</t>
  </si>
  <si>
    <t>D30</t>
  </si>
  <si>
    <t>E30</t>
  </si>
  <si>
    <t>F30</t>
  </si>
  <si>
    <t>G30</t>
  </si>
  <si>
    <t>H30</t>
  </si>
  <si>
    <t>I30</t>
  </si>
  <si>
    <t>C31</t>
  </si>
  <si>
    <t>D31</t>
  </si>
  <si>
    <t>E31</t>
  </si>
  <si>
    <t>F31</t>
  </si>
  <si>
    <t>G31</t>
  </si>
  <si>
    <t>H31</t>
  </si>
  <si>
    <t>I31</t>
  </si>
  <si>
    <t>C32</t>
  </si>
  <si>
    <t>D32</t>
  </si>
  <si>
    <t>E32</t>
  </si>
  <si>
    <t>F32</t>
  </si>
  <si>
    <t>G32</t>
  </si>
  <si>
    <t>H32</t>
  </si>
  <si>
    <t>I32</t>
  </si>
  <si>
    <t>C33</t>
  </si>
  <si>
    <t>D33</t>
  </si>
  <si>
    <t>E33</t>
  </si>
  <si>
    <t>F33</t>
  </si>
  <si>
    <t>G33</t>
  </si>
  <si>
    <t>H33</t>
  </si>
  <si>
    <t>I33</t>
  </si>
  <si>
    <t>C34</t>
  </si>
  <si>
    <t>D34</t>
  </si>
  <si>
    <t>E34</t>
  </si>
  <si>
    <t>F34</t>
  </si>
  <si>
    <t>G34</t>
  </si>
  <si>
    <t>H34</t>
  </si>
  <si>
    <t>I34</t>
  </si>
  <si>
    <t>C41</t>
  </si>
  <si>
    <t>E41</t>
  </si>
  <si>
    <t>F41</t>
  </si>
  <si>
    <t>G41</t>
  </si>
  <si>
    <t>H41</t>
  </si>
  <si>
    <t>I41</t>
  </si>
  <si>
    <t>C42</t>
  </si>
  <si>
    <t>D42</t>
  </si>
  <si>
    <t>E42</t>
  </si>
  <si>
    <t>F42</t>
  </si>
  <si>
    <t>G42</t>
  </si>
  <si>
    <t>H42</t>
  </si>
  <si>
    <t>I42</t>
  </si>
  <si>
    <t>C43</t>
  </si>
  <si>
    <t>D43</t>
  </si>
  <si>
    <t>E43</t>
  </si>
  <si>
    <t>F43</t>
  </si>
  <si>
    <t>G43</t>
  </si>
  <si>
    <t>H43</t>
  </si>
  <si>
    <t>I43</t>
  </si>
  <si>
    <t>C44</t>
  </si>
  <si>
    <t>D44</t>
  </si>
  <si>
    <t>E44</t>
  </si>
  <si>
    <t>F44</t>
  </si>
  <si>
    <t>G44</t>
  </si>
  <si>
    <t>H44</t>
  </si>
  <si>
    <t>I44</t>
  </si>
  <si>
    <t>C45</t>
  </si>
  <si>
    <t>D45</t>
  </si>
  <si>
    <t>E45</t>
  </si>
  <si>
    <t>F45</t>
  </si>
  <si>
    <t>G45</t>
  </si>
  <si>
    <t>H45</t>
  </si>
  <si>
    <t>I45</t>
  </si>
  <si>
    <t>B52</t>
  </si>
  <si>
    <t>C52</t>
  </si>
  <si>
    <t>D52</t>
  </si>
  <si>
    <t>E52</t>
  </si>
  <si>
    <t>F52</t>
  </si>
  <si>
    <t>G52</t>
  </si>
  <si>
    <t>H52</t>
  </si>
  <si>
    <t>I52</t>
  </si>
  <si>
    <t>C53</t>
  </si>
  <si>
    <t>D53</t>
  </si>
  <si>
    <t>E53</t>
  </si>
  <si>
    <t>F53</t>
  </si>
  <si>
    <t>G53</t>
  </si>
  <si>
    <t>H53</t>
  </si>
  <si>
    <t>I53</t>
  </si>
  <si>
    <t>C54</t>
  </si>
  <si>
    <t>D54</t>
  </si>
  <si>
    <t>E54</t>
  </si>
  <si>
    <t>F54</t>
  </si>
  <si>
    <t>G54</t>
  </si>
  <si>
    <t>H54</t>
  </si>
  <si>
    <t>I54</t>
  </si>
  <si>
    <t>C55</t>
  </si>
  <si>
    <t>D55</t>
  </si>
  <si>
    <t>E55</t>
  </si>
  <si>
    <t>F55</t>
  </si>
  <si>
    <t>G55</t>
  </si>
  <si>
    <t>H55</t>
  </si>
  <si>
    <t>I55</t>
  </si>
  <si>
    <t>C56</t>
  </si>
  <si>
    <t>D56</t>
  </si>
  <si>
    <t>E56</t>
  </si>
  <si>
    <t>F56</t>
  </si>
  <si>
    <t>G56</t>
  </si>
  <si>
    <t>H56</t>
  </si>
  <si>
    <t>I56</t>
  </si>
  <si>
    <t>N4</t>
  </si>
  <si>
    <t>N8</t>
  </si>
  <si>
    <t>C13</t>
  </si>
  <si>
    <t>C14</t>
  </si>
  <si>
    <t>C15</t>
  </si>
  <si>
    <t>C16</t>
  </si>
  <si>
    <t>C17</t>
  </si>
  <si>
    <t>C18</t>
  </si>
  <si>
    <t>C24</t>
  </si>
  <si>
    <t>C25</t>
  </si>
  <si>
    <t>C26</t>
  </si>
  <si>
    <t>C27</t>
  </si>
  <si>
    <t>C28</t>
  </si>
  <si>
    <t>C29</t>
  </si>
  <si>
    <t>C35</t>
  </si>
  <si>
    <t>C36</t>
  </si>
  <si>
    <t>J12</t>
  </si>
  <si>
    <t>G13</t>
  </si>
  <si>
    <t>H13</t>
  </si>
  <si>
    <t>I13</t>
  </si>
  <si>
    <t>J13</t>
  </si>
  <si>
    <t>G14</t>
  </si>
  <si>
    <t>H14</t>
  </si>
  <si>
    <t>I14</t>
  </si>
  <si>
    <t>J14</t>
  </si>
  <si>
    <t>G15</t>
  </si>
  <si>
    <t>H15</t>
  </si>
  <si>
    <t>I15</t>
  </si>
  <si>
    <t>J15</t>
  </si>
  <si>
    <t>G16</t>
  </si>
  <si>
    <t>H16</t>
  </si>
  <si>
    <t>I16</t>
  </si>
  <si>
    <t>J16</t>
  </si>
  <si>
    <t>G17</t>
  </si>
  <si>
    <t>H17</t>
  </si>
  <si>
    <t>I17</t>
  </si>
  <si>
    <t>J17</t>
  </si>
  <si>
    <t>G18</t>
  </si>
  <si>
    <t>H18</t>
  </si>
  <si>
    <t>I18</t>
  </si>
  <si>
    <t>J18</t>
  </si>
  <si>
    <t>J19</t>
  </si>
  <si>
    <t>J20</t>
  </si>
  <si>
    <t>J21</t>
  </si>
  <si>
    <t>J22</t>
  </si>
  <si>
    <t>J23</t>
  </si>
  <si>
    <t>G24</t>
  </si>
  <si>
    <t>H24</t>
  </si>
  <si>
    <t>I24</t>
  </si>
  <si>
    <t>J24</t>
  </si>
  <si>
    <t>G25</t>
  </si>
  <si>
    <t>H25</t>
  </si>
  <si>
    <t>I25</t>
  </si>
  <si>
    <t>J25</t>
  </si>
  <si>
    <t>G26</t>
  </si>
  <si>
    <t>H26</t>
  </si>
  <si>
    <t>I26</t>
  </si>
  <si>
    <t>J26</t>
  </si>
  <si>
    <t>G27</t>
  </si>
  <si>
    <t>H27</t>
  </si>
  <si>
    <t>I27</t>
  </si>
  <si>
    <t>J27</t>
  </si>
  <si>
    <t>G28</t>
  </si>
  <si>
    <t>H28</t>
  </si>
  <si>
    <t>I28</t>
  </si>
  <si>
    <t>J28</t>
  </si>
  <si>
    <t>G29</t>
  </si>
  <si>
    <t>H29</t>
  </si>
  <si>
    <t>I29</t>
  </si>
  <si>
    <t>J29</t>
  </si>
  <si>
    <t>J30</t>
  </si>
  <si>
    <t>J31</t>
  </si>
  <si>
    <t>J32</t>
  </si>
  <si>
    <t>J33</t>
  </si>
  <si>
    <t>J34</t>
  </si>
  <si>
    <t>G35</t>
  </si>
  <si>
    <t>H35</t>
  </si>
  <si>
    <t>I35</t>
  </si>
  <si>
    <t>J35</t>
  </si>
  <si>
    <t>G36</t>
  </si>
  <si>
    <t>H36</t>
  </si>
  <si>
    <t>I36</t>
  </si>
  <si>
    <t>J36</t>
  </si>
  <si>
    <t>G38</t>
  </si>
  <si>
    <t>H38</t>
  </si>
  <si>
    <t>I38</t>
  </si>
  <si>
    <t>J38</t>
  </si>
  <si>
    <t>G39</t>
  </si>
  <si>
    <t>H39</t>
  </si>
  <si>
    <t>I39</t>
  </si>
  <si>
    <t>J39</t>
  </si>
  <si>
    <t>G40</t>
  </si>
  <si>
    <t>H40</t>
  </si>
  <si>
    <t>I40</t>
  </si>
  <si>
    <t>J40</t>
  </si>
  <si>
    <t>J41</t>
  </si>
  <si>
    <t>J42</t>
  </si>
  <si>
    <t>J43</t>
  </si>
  <si>
    <t>J44</t>
  </si>
  <si>
    <t>J45</t>
  </si>
  <si>
    <t>G46</t>
  </si>
  <si>
    <t>H46</t>
  </si>
  <si>
    <t>I46</t>
  </si>
  <si>
    <t>J46</t>
  </si>
  <si>
    <t>G47</t>
  </si>
  <si>
    <t>H47</t>
  </si>
  <si>
    <t>I47</t>
  </si>
  <si>
    <t>J47</t>
  </si>
  <si>
    <t>G48</t>
  </si>
  <si>
    <t>H48</t>
  </si>
  <si>
    <t>I48</t>
  </si>
  <si>
    <t>J48</t>
  </si>
  <si>
    <t>G49</t>
  </si>
  <si>
    <t>H49</t>
  </si>
  <si>
    <t>I49</t>
  </si>
  <si>
    <t>J49</t>
  </si>
  <si>
    <t>G50</t>
  </si>
  <si>
    <t>H50</t>
  </si>
  <si>
    <t>I50</t>
  </si>
  <si>
    <t>J50</t>
  </si>
  <si>
    <t>G51</t>
  </si>
  <si>
    <t>H51</t>
  </si>
  <si>
    <t>I51</t>
  </si>
  <si>
    <t>J51</t>
  </si>
  <si>
    <t>J52</t>
  </si>
  <si>
    <t>J53</t>
  </si>
  <si>
    <t>J54</t>
  </si>
  <si>
    <t>J55</t>
  </si>
  <si>
    <t>J56</t>
  </si>
  <si>
    <t>G57</t>
  </si>
  <si>
    <t>H57</t>
  </si>
  <si>
    <t>I57</t>
  </si>
  <si>
    <t>J57</t>
  </si>
  <si>
    <t>G58</t>
  </si>
  <si>
    <t>H58</t>
  </si>
  <si>
    <t>I58</t>
  </si>
  <si>
    <t>J58</t>
  </si>
  <si>
    <t>G59</t>
  </si>
  <si>
    <t>H59</t>
  </si>
  <si>
    <t>I59</t>
  </si>
  <si>
    <t>J59</t>
  </si>
  <si>
    <t>G60</t>
  </si>
  <si>
    <t>H60</t>
  </si>
  <si>
    <t>I60</t>
  </si>
  <si>
    <t>J60</t>
  </si>
  <si>
    <t>G61</t>
  </si>
  <si>
    <t>H61</t>
  </si>
  <si>
    <t>I61</t>
  </si>
  <si>
    <t>J61</t>
  </si>
  <si>
    <t>G62</t>
  </si>
  <si>
    <t>H62</t>
  </si>
  <si>
    <t>I62</t>
  </si>
  <si>
    <t>J62</t>
  </si>
  <si>
    <t>G63</t>
  </si>
  <si>
    <t>H63</t>
  </si>
  <si>
    <t>I63</t>
  </si>
  <si>
    <t>J63</t>
  </si>
  <si>
    <t>G64</t>
  </si>
  <si>
    <t>H64</t>
  </si>
  <si>
    <t>I64</t>
  </si>
  <si>
    <t>J64</t>
  </si>
  <si>
    <t>G65</t>
  </si>
  <si>
    <t>H65</t>
  </si>
  <si>
    <t>I65</t>
  </si>
  <si>
    <t>J65</t>
  </si>
  <si>
    <t>G66</t>
  </si>
  <si>
    <t>H66</t>
  </si>
  <si>
    <t>I66</t>
  </si>
  <si>
    <t>J66</t>
  </si>
  <si>
    <t>G67</t>
  </si>
  <si>
    <t>H67</t>
  </si>
  <si>
    <t>I67</t>
  </si>
  <si>
    <t>J67</t>
  </si>
  <si>
    <t>G68</t>
  </si>
  <si>
    <t>H68</t>
  </si>
  <si>
    <t>I68</t>
  </si>
  <si>
    <t>J68</t>
  </si>
  <si>
    <t>G69</t>
  </si>
  <si>
    <t>H69</t>
  </si>
  <si>
    <t>I69</t>
  </si>
  <si>
    <t>J69</t>
  </si>
  <si>
    <t>G70</t>
  </si>
  <si>
    <t>H70</t>
  </si>
  <si>
    <t>I70</t>
  </si>
  <si>
    <t>J70</t>
  </si>
  <si>
    <t>G71</t>
  </si>
  <si>
    <t>H71</t>
  </si>
  <si>
    <t>I71</t>
  </si>
  <si>
    <t>J71</t>
  </si>
  <si>
    <t>L12</t>
  </si>
  <si>
    <t>M12</t>
  </si>
  <si>
    <t>L13</t>
  </si>
  <si>
    <t>M13</t>
  </si>
  <si>
    <t>L14</t>
  </si>
  <si>
    <t>M14</t>
  </si>
  <si>
    <t>L15</t>
  </si>
  <si>
    <t>M15</t>
  </si>
  <si>
    <t>L16</t>
  </si>
  <si>
    <t>M16</t>
  </si>
  <si>
    <t>L17</t>
  </si>
  <si>
    <t>M17</t>
  </si>
  <si>
    <t>L18</t>
  </si>
  <si>
    <t>M18</t>
  </si>
  <si>
    <t>L19</t>
  </si>
  <si>
    <t>M19</t>
  </si>
  <si>
    <t>L20</t>
  </si>
  <si>
    <t>M20</t>
  </si>
  <si>
    <t>L21</t>
  </si>
  <si>
    <t>M21</t>
  </si>
  <si>
    <t>L22</t>
  </si>
  <si>
    <t>M22</t>
  </si>
  <si>
    <t>L23</t>
  </si>
  <si>
    <t>M23</t>
  </si>
  <si>
    <t>L24</t>
  </si>
  <si>
    <t>M24</t>
  </si>
  <si>
    <t>L25</t>
  </si>
  <si>
    <t>M25</t>
  </si>
  <si>
    <t>L26</t>
  </si>
  <si>
    <t>M26</t>
  </si>
  <si>
    <t>L27</t>
  </si>
  <si>
    <t>M27</t>
  </si>
  <si>
    <t>L28</t>
  </si>
  <si>
    <t>M28</t>
  </si>
  <si>
    <t>L29</t>
  </si>
  <si>
    <t>M29</t>
  </si>
  <si>
    <t>L30</t>
  </si>
  <si>
    <t>M30</t>
  </si>
  <si>
    <t>L31</t>
  </si>
  <si>
    <t>M31</t>
  </si>
  <si>
    <t>L32</t>
  </si>
  <si>
    <t>M32</t>
  </si>
  <si>
    <t>L33</t>
  </si>
  <si>
    <t>M33</t>
  </si>
  <si>
    <t>L34</t>
  </si>
  <si>
    <t>M34</t>
  </si>
  <si>
    <t>L35</t>
  </si>
  <si>
    <t>M35</t>
  </si>
  <si>
    <t>L36</t>
  </si>
  <si>
    <t>M36</t>
  </si>
  <si>
    <t>L38</t>
  </si>
  <si>
    <t>M38</t>
  </si>
  <si>
    <t>L39</t>
  </si>
  <si>
    <t>M39</t>
  </si>
  <si>
    <t>L40</t>
  </si>
  <si>
    <t>M40</t>
  </si>
  <si>
    <t>L41</t>
  </si>
  <si>
    <t>M41</t>
  </si>
  <si>
    <t>L42</t>
  </si>
  <si>
    <t>M42</t>
  </si>
  <si>
    <t>L43</t>
  </si>
  <si>
    <t>M43</t>
  </si>
  <si>
    <t>L44</t>
  </si>
  <si>
    <t>M44</t>
  </si>
  <si>
    <t>L45</t>
  </si>
  <si>
    <t>M45</t>
  </si>
  <si>
    <t>L46</t>
  </si>
  <si>
    <t>M46</t>
  </si>
  <si>
    <t>L47</t>
  </si>
  <si>
    <t>M47</t>
  </si>
  <si>
    <t>L48</t>
  </si>
  <si>
    <t>M48</t>
  </si>
  <si>
    <t>L49</t>
  </si>
  <si>
    <t>M49</t>
  </si>
  <si>
    <t>L50</t>
  </si>
  <si>
    <t>M50</t>
  </si>
  <si>
    <t>L51</t>
  </si>
  <si>
    <t>M51</t>
  </si>
  <si>
    <t>L52</t>
  </si>
  <si>
    <t>M52</t>
  </si>
  <si>
    <t>L53</t>
  </si>
  <si>
    <t>M53</t>
  </si>
  <si>
    <t>L54</t>
  </si>
  <si>
    <t>M54</t>
  </si>
  <si>
    <t>L55</t>
  </si>
  <si>
    <t>M55</t>
  </si>
  <si>
    <t>L56</t>
  </si>
  <si>
    <t>M56</t>
  </si>
  <si>
    <t>L57</t>
  </si>
  <si>
    <t>M57</t>
  </si>
  <si>
    <t>L58</t>
  </si>
  <si>
    <t>M58</t>
  </si>
  <si>
    <t>L59</t>
  </si>
  <si>
    <t>M59</t>
  </si>
  <si>
    <t>L60</t>
  </si>
  <si>
    <t>M60</t>
  </si>
  <si>
    <t>L61</t>
  </si>
  <si>
    <t>M61</t>
  </si>
  <si>
    <t>L62</t>
  </si>
  <si>
    <t>M62</t>
  </si>
  <si>
    <t>L63</t>
  </si>
  <si>
    <t>M63</t>
  </si>
  <si>
    <t>L64</t>
  </si>
  <si>
    <t>M64</t>
  </si>
  <si>
    <t>L65</t>
  </si>
  <si>
    <t>M65</t>
  </si>
  <si>
    <t>L66</t>
  </si>
  <si>
    <t>M66</t>
  </si>
  <si>
    <t>L67</t>
  </si>
  <si>
    <t>M67</t>
  </si>
  <si>
    <t>L68</t>
  </si>
  <si>
    <t>M68</t>
  </si>
  <si>
    <t>L69</t>
  </si>
  <si>
    <t>M69</t>
  </si>
  <si>
    <t>L70</t>
  </si>
  <si>
    <t>M70</t>
  </si>
  <si>
    <t>L71</t>
  </si>
  <si>
    <t>M71</t>
  </si>
  <si>
    <t>Rent Roll Detail</t>
  </si>
  <si>
    <t>E1</t>
  </si>
  <si>
    <t>E2</t>
  </si>
  <si>
    <t>Current and Scheduled</t>
  </si>
  <si>
    <t>C6</t>
  </si>
  <si>
    <t xml:space="preserve">Notes:
</t>
  </si>
  <si>
    <t>O40</t>
  </si>
  <si>
    <t>P40</t>
  </si>
  <si>
    <t>O41</t>
  </si>
  <si>
    <t>P41</t>
  </si>
  <si>
    <t>I4</t>
  </si>
  <si>
    <t>Prior 3</t>
  </si>
  <si>
    <t>K4</t>
  </si>
  <si>
    <t>Prior 2</t>
  </si>
  <si>
    <t>M4</t>
  </si>
  <si>
    <t>Prior 1</t>
  </si>
  <si>
    <t>Year 1</t>
  </si>
  <si>
    <t>S4</t>
  </si>
  <si>
    <t>Reno</t>
  </si>
  <si>
    <t>T6</t>
  </si>
  <si>
    <t>AA6</t>
  </si>
  <si>
    <t>I6</t>
  </si>
  <si>
    <t>I7</t>
  </si>
  <si>
    <t>K6</t>
  </si>
  <si>
    <t>K7</t>
  </si>
  <si>
    <t>M6</t>
  </si>
  <si>
    <t>M7</t>
  </si>
  <si>
    <t>R7</t>
  </si>
  <si>
    <t>S7</t>
  </si>
  <si>
    <t>T7</t>
  </si>
  <si>
    <t>T8</t>
  </si>
  <si>
    <t>K9</t>
  </si>
  <si>
    <t>M9</t>
  </si>
  <si>
    <t>P9</t>
  </si>
  <si>
    <t>S9</t>
  </si>
  <si>
    <t>T9</t>
  </si>
  <si>
    <t>T10</t>
  </si>
  <si>
    <t>Non-Revenue Units</t>
  </si>
  <si>
    <t>Bad Debt</t>
  </si>
  <si>
    <t>Concession</t>
  </si>
  <si>
    <t>K11</t>
  </si>
  <si>
    <t>K12</t>
  </si>
  <si>
    <t>K13</t>
  </si>
  <si>
    <t>M11</t>
  </si>
  <si>
    <t>O11</t>
  </si>
  <si>
    <t>O12</t>
  </si>
  <si>
    <t>O13</t>
  </si>
  <si>
    <t>R11</t>
  </si>
  <si>
    <t>S11</t>
  </si>
  <si>
    <t>T11</t>
  </si>
  <si>
    <t>S12</t>
  </si>
  <si>
    <t>T12</t>
  </si>
  <si>
    <t>R13</t>
  </si>
  <si>
    <t>S13</t>
  </si>
  <si>
    <t>T13</t>
  </si>
  <si>
    <t>T15</t>
  </si>
  <si>
    <t>T16</t>
  </si>
  <si>
    <t>E18</t>
  </si>
  <si>
    <t>Utility Bill-Back</t>
  </si>
  <si>
    <t>All Other Income</t>
  </si>
  <si>
    <t>K18</t>
  </si>
  <si>
    <t>K19</t>
  </si>
  <si>
    <t>O18</t>
  </si>
  <si>
    <t>O19</t>
  </si>
  <si>
    <t>Q18</t>
  </si>
  <si>
    <t>Q19</t>
  </si>
  <si>
    <t>S18</t>
  </si>
  <si>
    <t>T18</t>
  </si>
  <si>
    <t>S19</t>
  </si>
  <si>
    <t>T19</t>
  </si>
  <si>
    <t>E26</t>
  </si>
  <si>
    <t>Utilities - Electric</t>
  </si>
  <si>
    <t>E27</t>
  </si>
  <si>
    <t>Utilities - Water &amp; Sewer</t>
  </si>
  <si>
    <t>E28</t>
  </si>
  <si>
    <t>Utilities - Gas</t>
  </si>
  <si>
    <t>E29</t>
  </si>
  <si>
    <t>Trash Removal</t>
  </si>
  <si>
    <t>Repairs &amp; Maintenance</t>
  </si>
  <si>
    <t>Landscaping</t>
  </si>
  <si>
    <t>Marketing &amp; Advertising</t>
  </si>
  <si>
    <t>Payroll</t>
  </si>
  <si>
    <t>Alarm Monitoring/Inspection</t>
  </si>
  <si>
    <t>E35</t>
  </si>
  <si>
    <t>General &amp; Administrative</t>
  </si>
  <si>
    <t>E36</t>
  </si>
  <si>
    <t>Misc. Expenses</t>
  </si>
  <si>
    <t>O24</t>
  </si>
  <si>
    <t>O25</t>
  </si>
  <si>
    <t>O26</t>
  </si>
  <si>
    <t>O27</t>
  </si>
  <si>
    <t>O28</t>
  </si>
  <si>
    <t>O29</t>
  </si>
  <si>
    <t>O30</t>
  </si>
  <si>
    <t>O31</t>
  </si>
  <si>
    <t>O32</t>
  </si>
  <si>
    <t>O33</t>
  </si>
  <si>
    <t>O34</t>
  </si>
  <si>
    <t>O35</t>
  </si>
  <si>
    <t>O36</t>
  </si>
  <si>
    <t>O37</t>
  </si>
  <si>
    <t>Q24</t>
  </si>
  <si>
    <t>Q25</t>
  </si>
  <si>
    <t>Q26</t>
  </si>
  <si>
    <t>Q27</t>
  </si>
  <si>
    <t>Q28</t>
  </si>
  <si>
    <t>Q29</t>
  </si>
  <si>
    <t>Q30</t>
  </si>
  <si>
    <t>Q31</t>
  </si>
  <si>
    <t>Q32</t>
  </si>
  <si>
    <t>Q33</t>
  </si>
  <si>
    <t>Q34</t>
  </si>
  <si>
    <t>Q35</t>
  </si>
  <si>
    <t>Q36</t>
  </si>
  <si>
    <t>Q37</t>
  </si>
  <si>
    <t>S24</t>
  </si>
  <si>
    <t>T24</t>
  </si>
  <si>
    <t>S25</t>
  </si>
  <si>
    <t>T25</t>
  </si>
  <si>
    <t>S26</t>
  </si>
  <si>
    <t>T26</t>
  </si>
  <si>
    <t>S27</t>
  </si>
  <si>
    <t>T27</t>
  </si>
  <si>
    <t>S28</t>
  </si>
  <si>
    <t>T28</t>
  </si>
  <si>
    <t>S29</t>
  </si>
  <si>
    <t>T29</t>
  </si>
  <si>
    <t>S30</t>
  </si>
  <si>
    <t>T30</t>
  </si>
  <si>
    <t>S31</t>
  </si>
  <si>
    <t>T31</t>
  </si>
  <si>
    <t>S32</t>
  </si>
  <si>
    <t>T32</t>
  </si>
  <si>
    <t>S33</t>
  </si>
  <si>
    <t>T33</t>
  </si>
  <si>
    <t>S34</t>
  </si>
  <si>
    <t>T34</t>
  </si>
  <si>
    <t>S35</t>
  </si>
  <si>
    <t>T35</t>
  </si>
  <si>
    <t>S36</t>
  </si>
  <si>
    <t>T36</t>
  </si>
  <si>
    <t>S37</t>
  </si>
  <si>
    <t>T37</t>
  </si>
  <si>
    <t>K24</t>
  </si>
  <si>
    <t>K25</t>
  </si>
  <si>
    <t>K26</t>
  </si>
  <si>
    <t>K27</t>
  </si>
  <si>
    <t>K28</t>
  </si>
  <si>
    <t>K29</t>
  </si>
  <si>
    <t>K30</t>
  </si>
  <si>
    <t>K31</t>
  </si>
  <si>
    <t>K32</t>
  </si>
  <si>
    <t>K33</t>
  </si>
  <si>
    <t>K34</t>
  </si>
  <si>
    <t>K35</t>
  </si>
  <si>
    <t>K36</t>
  </si>
  <si>
    <t>K38</t>
  </si>
  <si>
    <t>P38</t>
  </si>
  <si>
    <t>R38</t>
  </si>
  <si>
    <t>S38</t>
  </si>
  <si>
    <t>T38</t>
  </si>
  <si>
    <t>Notes</t>
  </si>
  <si>
    <t>D4</t>
  </si>
  <si>
    <t>D5</t>
  </si>
  <si>
    <t>D6</t>
  </si>
  <si>
    <t>D7</t>
  </si>
  <si>
    <t>D13</t>
  </si>
  <si>
    <t>D14</t>
  </si>
  <si>
    <t>D15</t>
  </si>
  <si>
    <t>D16</t>
  </si>
  <si>
    <t>D17</t>
  </si>
  <si>
    <t>D18</t>
  </si>
  <si>
    <t>D24</t>
  </si>
  <si>
    <t>D25</t>
  </si>
  <si>
    <t>D26</t>
  </si>
  <si>
    <t>D27</t>
  </si>
  <si>
    <t>D28</t>
  </si>
  <si>
    <t>D29</t>
  </si>
  <si>
    <t>C7</t>
  </si>
  <si>
    <t>F14</t>
  </si>
  <si>
    <t>F15</t>
  </si>
  <si>
    <t>B29</t>
  </si>
  <si>
    <t xml:space="preserve">Notes: </t>
  </si>
  <si>
    <t>X0990001</t>
  </si>
  <si>
    <t>Summary</t>
  </si>
  <si>
    <t>A</t>
  </si>
  <si>
    <t>Financed - Assumed</t>
  </si>
  <si>
    <t>B44</t>
  </si>
  <si>
    <t>B46</t>
  </si>
  <si>
    <t>B47</t>
  </si>
  <si>
    <t>B48</t>
  </si>
  <si>
    <t>B49</t>
  </si>
  <si>
    <t>Wells Fargo</t>
  </si>
  <si>
    <t>B53</t>
  </si>
  <si>
    <t>B54</t>
  </si>
  <si>
    <t>Conventional</t>
  </si>
  <si>
    <t>B55</t>
  </si>
  <si>
    <t>PNC</t>
  </si>
  <si>
    <t>MMI Bank</t>
  </si>
  <si>
    <t>Refinance Balloon Amount from Loan(s)</t>
  </si>
  <si>
    <t xml:space="preserve">1 Bed / 1 Bath </t>
  </si>
  <si>
    <t>1 Bed / 1 Bath</t>
  </si>
  <si>
    <t>1 Bed / 1 Bath Reno</t>
  </si>
  <si>
    <t xml:space="preserve">2 Bed / 2 Bath </t>
  </si>
  <si>
    <t>2 Bed / 2 Bath</t>
  </si>
  <si>
    <t>2 Bed / 1.5 Bath</t>
  </si>
  <si>
    <t>2 Bed / 1.5 Bath TH</t>
  </si>
  <si>
    <t>2 Bed / 1.5 Bath Reno</t>
  </si>
  <si>
    <t>3 Bed / 2 Bath</t>
  </si>
  <si>
    <t>3 Bed / 2 Bath Small</t>
  </si>
  <si>
    <t>3 Bed / 2 Bath Small Reno</t>
  </si>
  <si>
    <t>3 Bed / 2 Bath Large</t>
  </si>
  <si>
    <t>3 Bed / 2 Bath Large Reno</t>
  </si>
  <si>
    <t xml:space="preserve">4 Bed / 2 Bath Small </t>
  </si>
  <si>
    <t xml:space="preserve">4 Bed / 2 Bath Small Reno </t>
  </si>
  <si>
    <t xml:space="preserve">4 Bed / 2 Bath Large </t>
  </si>
  <si>
    <t xml:space="preserve">4 Bed / 2 Bath Large Reno </t>
  </si>
  <si>
    <t>4 Bed / 3 Bath</t>
  </si>
  <si>
    <t>Real Estate Tax- Utilizes 1.0229% Mill Rate</t>
  </si>
  <si>
    <t>Insurance- Based On Annual Trailing 12</t>
  </si>
  <si>
    <t>Operating Reserves- Assumes $200/Unit Per Year</t>
  </si>
  <si>
    <t>Management Fee- Offsite Management Firm 4% EGR</t>
  </si>
  <si>
    <t>Growth Rates</t>
  </si>
  <si>
    <t>E5</t>
  </si>
  <si>
    <t>F5</t>
  </si>
  <si>
    <t>G5</t>
  </si>
  <si>
    <t>H5</t>
  </si>
  <si>
    <t>I5</t>
  </si>
  <si>
    <t>J5</t>
  </si>
  <si>
    <t>K5</t>
  </si>
  <si>
    <t>L5</t>
  </si>
  <si>
    <t>M5</t>
  </si>
  <si>
    <t>E6</t>
  </si>
  <si>
    <t>G6</t>
  </si>
  <si>
    <t>H6</t>
  </si>
  <si>
    <t>J6</t>
  </si>
  <si>
    <t>L6</t>
  </si>
  <si>
    <t>E7</t>
  </si>
  <si>
    <t>G7</t>
  </si>
  <si>
    <t>H7</t>
  </si>
  <si>
    <t>J7</t>
  </si>
  <si>
    <t>L7</t>
  </si>
  <si>
    <t>J9</t>
  </si>
  <si>
    <t>L9</t>
  </si>
  <si>
    <t>J10</t>
  </si>
  <si>
    <t>K10</t>
  </si>
  <si>
    <t>L10</t>
  </si>
  <si>
    <t>M10</t>
  </si>
  <si>
    <t>J11</t>
  </si>
  <si>
    <t>L11</t>
  </si>
  <si>
    <t>F13</t>
  </si>
  <si>
    <t>F16</t>
  </si>
  <si>
    <t>K16</t>
  </si>
  <si>
    <t>F17</t>
  </si>
  <si>
    <t>K17</t>
  </si>
  <si>
    <t>F18</t>
  </si>
  <si>
    <t>STNL</t>
  </si>
  <si>
    <t>515 S. Flower Street</t>
  </si>
  <si>
    <t>23975 Park Sorrento</t>
  </si>
  <si>
    <t>Los Angeles, CA</t>
  </si>
  <si>
    <t>Calabasas, CA</t>
  </si>
  <si>
    <t>M8</t>
  </si>
  <si>
    <t xml:space="preserve">1 Bedroom / 1 Bath </t>
  </si>
  <si>
    <t xml:space="preserve">2 Bedroom / 2 Bath </t>
  </si>
  <si>
    <t xml:space="preserve">2 Bedroom / 1.5 Bath </t>
  </si>
  <si>
    <t xml:space="preserve">3 Bedroom / 2 Bath </t>
  </si>
  <si>
    <t xml:space="preserve">3 Bed / 2 Bath Small </t>
  </si>
  <si>
    <t xml:space="preserve">3 Bed / 2 Bath Small Reno </t>
  </si>
  <si>
    <t xml:space="preserve">3 Bed / 2 Bath Large </t>
  </si>
  <si>
    <t xml:space="preserve">3 Bed / 2 Bath Large Reno </t>
  </si>
  <si>
    <t>SAMPLE DETAIL RENT ROLL</t>
  </si>
  <si>
    <t>SAMPLE SUMMARY RENT ROLL</t>
  </si>
  <si>
    <t>Comp Type</t>
  </si>
  <si>
    <t>Sub Unit Type</t>
  </si>
  <si>
    <t>Unit</t>
  </si>
  <si>
    <t>Square</t>
  </si>
  <si>
    <t>Code</t>
  </si>
  <si>
    <t>Count</t>
  </si>
  <si>
    <t>Number</t>
  </si>
  <si>
    <t>Feet</t>
  </si>
  <si>
    <t>Rent/Mo</t>
  </si>
  <si>
    <t>1A</t>
  </si>
  <si>
    <t>1B</t>
  </si>
  <si>
    <t>2A</t>
  </si>
  <si>
    <t>4B</t>
  </si>
  <si>
    <t>4C</t>
  </si>
  <si>
    <t>4A</t>
  </si>
  <si>
    <t>3A</t>
  </si>
  <si>
    <t>3B</t>
  </si>
  <si>
    <t>4D</t>
  </si>
  <si>
    <t>Data Point</t>
  </si>
  <si>
    <t>Named Range</t>
  </si>
  <si>
    <t>Application Data</t>
  </si>
  <si>
    <t>Currency, zero decimals</t>
  </si>
  <si>
    <t>PriceCell</t>
  </si>
  <si>
    <t>Down Payment Amount</t>
  </si>
  <si>
    <t>DownCell</t>
  </si>
  <si>
    <t>Down Payment Percent</t>
  </si>
  <si>
    <t>Percent, zero decimals</t>
  </si>
  <si>
    <t>DownPctCell</t>
  </si>
  <si>
    <t>Primary Loan</t>
  </si>
  <si>
    <t>ModeledLoanAmount</t>
  </si>
  <si>
    <t>Text</t>
  </si>
  <si>
    <t>ModeledProposedExisting</t>
  </si>
  <si>
    <t>Percent, 2 decimals</t>
  </si>
  <si>
    <t>ModeledInterestRate</t>
  </si>
  <si>
    <t>Integer</t>
  </si>
  <si>
    <t>ModeledAmortizationPeriod</t>
  </si>
  <si>
    <t>Loan Term</t>
  </si>
  <si>
    <t>ModeledTerm</t>
  </si>
  <si>
    <t>Loan to Value</t>
  </si>
  <si>
    <t>ModeledLoanToPurchaseRatio</t>
  </si>
  <si>
    <t>Debt Service</t>
  </si>
  <si>
    <t>ModeledAnnualDebtServicePayment</t>
  </si>
  <si>
    <t>Debt Coverage Ratio</t>
  </si>
  <si>
    <t>Decimal, 2 decimals</t>
  </si>
  <si>
    <t>ModeledDebtServiceRatio</t>
  </si>
  <si>
    <t>Mezzanine</t>
  </si>
  <si>
    <t>ModeledLoanAmount2</t>
  </si>
  <si>
    <t>ModeledProposedExisting2</t>
  </si>
  <si>
    <t>ModeledInterestRate2</t>
  </si>
  <si>
    <t>ModeledAmortizationPeriod2</t>
  </si>
  <si>
    <t>ModeledTerm2</t>
  </si>
  <si>
    <t>ModeledLoanToPurchaseRatio2</t>
  </si>
  <si>
    <t>ModeledAnnualDebtServicePayment2</t>
  </si>
  <si>
    <t>Existing Financing</t>
  </si>
  <si>
    <t>ExistingLoanAmount</t>
  </si>
  <si>
    <t>ExistingLoanType</t>
  </si>
  <si>
    <t>ExistingInterestRate</t>
  </si>
  <si>
    <t>ExistingAmortization</t>
  </si>
  <si>
    <t>Original Term</t>
  </si>
  <si>
    <t>ExistingTerm</t>
  </si>
  <si>
    <t>Date</t>
  </si>
  <si>
    <t>ExistingDueDate</t>
  </si>
  <si>
    <t>Current Monthly Payment</t>
  </si>
  <si>
    <t>ExistingMonthlyPayment</t>
  </si>
  <si>
    <t>ExistingLenderName</t>
  </si>
  <si>
    <t>ExistingPrepaymentPenalty</t>
  </si>
  <si>
    <t>Number of Units</t>
  </si>
  <si>
    <t>TotalUnitCountCell</t>
  </si>
  <si>
    <t>Price Per Unit</t>
  </si>
  <si>
    <t>PricePerUnitCell</t>
  </si>
  <si>
    <t>Price Per SF</t>
  </si>
  <si>
    <t>Currency, 2 decimals</t>
  </si>
  <si>
    <t>PricePerSFCell</t>
  </si>
  <si>
    <t>Ownership Type</t>
  </si>
  <si>
    <t>OwnershipTypeCell</t>
  </si>
  <si>
    <t>Total Rentable SF</t>
  </si>
  <si>
    <t>TotalRentableSFCell</t>
  </si>
  <si>
    <t>Total Gross SF</t>
  </si>
  <si>
    <t>TotalGrossSFCell</t>
  </si>
  <si>
    <t>Occupancy - Current</t>
  </si>
  <si>
    <t>OccupancyPct</t>
  </si>
  <si>
    <t>Occupancy - Year 1</t>
  </si>
  <si>
    <t>OccupancyPctYear1</t>
  </si>
  <si>
    <t>Year Built/Renovated</t>
  </si>
  <si>
    <t>YearBuiltCell</t>
  </si>
  <si>
    <t>Lot Size (SF)</t>
  </si>
  <si>
    <t>LotSizeCell</t>
  </si>
  <si>
    <t>Current Year Label</t>
  </si>
  <si>
    <t>ODLabel1Cell</t>
  </si>
  <si>
    <t>Pro Forma Year Label</t>
  </si>
  <si>
    <t>ODLabel2Cell</t>
  </si>
  <si>
    <t>CAP Rate - Current</t>
  </si>
  <si>
    <t>Cap1Cell</t>
  </si>
  <si>
    <t>CAP Rate - Year 1</t>
  </si>
  <si>
    <t>Cap2Cell</t>
  </si>
  <si>
    <t>GRM - Current</t>
  </si>
  <si>
    <t>GRM1Cell</t>
  </si>
  <si>
    <t>GRM - Year 1</t>
  </si>
  <si>
    <t>GRM2Cell</t>
  </si>
  <si>
    <t>Net Operating Income - Current</t>
  </si>
  <si>
    <t>NOICell</t>
  </si>
  <si>
    <t>Net Operating Income per SF</t>
  </si>
  <si>
    <t>NOIPerSFCell</t>
  </si>
  <si>
    <t>Net Operating Income - Year 1</t>
  </si>
  <si>
    <t>NOI2Cell</t>
  </si>
  <si>
    <t>Net Cash Flow After Debt Service - Current</t>
  </si>
  <si>
    <t>NCFADS1Cell</t>
  </si>
  <si>
    <t>Net Cash Flow After Debt Service - Year 1</t>
  </si>
  <si>
    <t>NCFADS2Cell</t>
  </si>
  <si>
    <t>Net Cash Flow After Debt Service Percent - Current</t>
  </si>
  <si>
    <t>NCFADS1PctCell</t>
  </si>
  <si>
    <t>Net Cash Flow After Debt Service Percent - Year 1</t>
  </si>
  <si>
    <t>NCFADS2PctCell</t>
  </si>
  <si>
    <t>Total Return - Current</t>
  </si>
  <si>
    <t>TotalReturnCurrency1Cell</t>
  </si>
  <si>
    <t>Total Return - Year 1</t>
  </si>
  <si>
    <t>TotalReturnCurrency2Cell</t>
  </si>
  <si>
    <t>Total Return PCT - Current</t>
  </si>
  <si>
    <t>TotalReturn1Cell</t>
  </si>
  <si>
    <t>Total Return PCT - Year 1</t>
  </si>
  <si>
    <t>TotalReturn2Cell</t>
  </si>
  <si>
    <t>Alternative Investment (Table)</t>
  </si>
  <si>
    <t>AltInvEquityReturnOptions</t>
  </si>
  <si>
    <t>Unit Count Data Table (Table)</t>
  </si>
  <si>
    <t>Table</t>
  </si>
  <si>
    <t>UnitCountDataTable</t>
  </si>
  <si>
    <t>Scheduled Rents</t>
  </si>
  <si>
    <t>Monthly Income</t>
  </si>
  <si>
    <t>Potential Rents</t>
  </si>
  <si>
    <t>Income Data (Table)</t>
  </si>
  <si>
    <t>IncomeDataTable</t>
  </si>
  <si>
    <t>Less Expenses</t>
  </si>
  <si>
    <t>Expenses Data (Table)</t>
  </si>
  <si>
    <t>ExpensesDataTable</t>
  </si>
  <si>
    <t>Current %</t>
  </si>
  <si>
    <t>Year 1 %</t>
  </si>
  <si>
    <t>Expenses Per Unit</t>
  </si>
  <si>
    <t>Rent Roll Page Break</t>
  </si>
  <si>
    <t>Bool</t>
  </si>
  <si>
    <t>RentRollPgBreak</t>
  </si>
  <si>
    <t>Average Unit Rent (Table)</t>
  </si>
  <si>
    <t>AverageUnitRentTable</t>
  </si>
  <si>
    <t>Avg Current Rents</t>
  </si>
  <si>
    <t>Utilities Sum - Current</t>
  </si>
  <si>
    <t>UtilitiesCurrentCell</t>
  </si>
  <si>
    <t>Utilities Sum - Projection</t>
  </si>
  <si>
    <t>UtilitiesProjectionCell</t>
  </si>
  <si>
    <t>InDesign Specification</t>
  </si>
  <si>
    <t>UI Name</t>
  </si>
  <si>
    <t>Values</t>
  </si>
  <si>
    <t>Unit mix</t>
  </si>
  <si>
    <t>cap_rate</t>
  </si>
  <si>
    <t>Cap Rate (Current)</t>
  </si>
  <si>
    <t>count</t>
  </si>
  <si>
    <t>unit_type</t>
  </si>
  <si>
    <t xml:space="preserve">size </t>
  </si>
  <si>
    <t>rent</t>
  </si>
  <si>
    <t>cap_rate_pro_forma</t>
  </si>
  <si>
    <t>Cap Rate (Pro Forma)</t>
  </si>
  <si>
    <t>debt_service</t>
  </si>
  <si>
    <t>Debt Service (Current)</t>
  </si>
  <si>
    <t>debt_service_pro_forma</t>
  </si>
  <si>
    <t>Debt Service (Pro Forma)</t>
  </si>
  <si>
    <t>down_payment</t>
  </si>
  <si>
    <t>Down Payment</t>
  </si>
  <si>
    <t>net_operating_income</t>
  </si>
  <si>
    <t>Net Operating Income (Current)</t>
  </si>
  <si>
    <t>net_operating_income_pro_forma</t>
  </si>
  <si>
    <t>Net Operating Income (Pro Forma)</t>
  </si>
  <si>
    <t>operating_expenses</t>
  </si>
  <si>
    <t>Expenses (Current)</t>
  </si>
  <si>
    <t>operating_expenses_pro_forma</t>
  </si>
  <si>
    <t>Expenses (Pro Forma)</t>
  </si>
  <si>
    <t>principal_reduction_yr_1</t>
  </si>
  <si>
    <t>Principal Reduction (Current)</t>
  </si>
  <si>
    <t>principal_reduction_pro_forma</t>
  </si>
  <si>
    <t>Principal Reduction (Pro Forma)</t>
  </si>
  <si>
    <t>sale_price</t>
  </si>
  <si>
    <t>Proposal Price / Listing Price</t>
  </si>
  <si>
    <t>cash_on_cash</t>
  </si>
  <si>
    <t>Total Return $ (Current)</t>
  </si>
  <si>
    <t>cash_on_cash_pro_forma</t>
  </si>
  <si>
    <t>Total Return $ (Pro Forma)</t>
  </si>
  <si>
    <t>total_return</t>
  </si>
  <si>
    <t>Total Return % (Current)</t>
  </si>
  <si>
    <t>total_return_pro_forma</t>
  </si>
  <si>
    <t>Total Return % (Pro Forma)</t>
  </si>
  <si>
    <t>loan_type</t>
  </si>
  <si>
    <t>gross_scheduled_income</t>
  </si>
  <si>
    <t>Gross Potential Rent (Current)</t>
  </si>
  <si>
    <t>Tenant</t>
  </si>
  <si>
    <t>gross_scheduled_income_pro_forma</t>
  </si>
  <si>
    <t>Gross Potential Rent (Pro Forma)</t>
  </si>
  <si>
    <t>tenant_name</t>
  </si>
  <si>
    <t>anchor_tenant</t>
  </si>
  <si>
    <t>tenant_type</t>
  </si>
  <si>
    <t>other_income</t>
  </si>
  <si>
    <t>Total Other Income (Current)</t>
  </si>
  <si>
    <t>other_income_pro_forma</t>
  </si>
  <si>
    <t>Total Other Income (Pro Forma)</t>
  </si>
  <si>
    <t>vacancy_cost</t>
  </si>
  <si>
    <t>Total Vacancy Cost (Current)</t>
  </si>
  <si>
    <t>vacancy_cost_pro_forma</t>
  </si>
  <si>
    <t>Total Vacancy Cost (Pro Forma)</t>
  </si>
  <si>
    <t>vacancy_percent</t>
  </si>
  <si>
    <t>Occupancy (Current)</t>
  </si>
  <si>
    <t>vacancy_percent_pro_forma</t>
  </si>
  <si>
    <t>Occupancy (Pro Forma)</t>
  </si>
  <si>
    <t>unit_count</t>
  </si>
  <si>
    <t>exp_reimbursement</t>
  </si>
  <si>
    <t>Expense Reimbursement (Current)</t>
  </si>
  <si>
    <t>exp_reimbursement_pro_forma</t>
  </si>
  <si>
    <t>Expense Reimbursement (Pro Forma)</t>
  </si>
  <si>
    <t>leasing_commissions</t>
  </si>
  <si>
    <t>Leasing Commissions (Current)</t>
  </si>
  <si>
    <t>leasing_commissions_pro_forma</t>
  </si>
  <si>
    <t>Leasing Commissions (Pro Forma)</t>
  </si>
  <si>
    <t>tenant_improvements</t>
  </si>
  <si>
    <t>Tenant Improvements (Current)</t>
  </si>
  <si>
    <t>tenant_improvements_pro_forma</t>
  </si>
  <si>
    <t>Tenant Improvements (Pro Forma)</t>
  </si>
  <si>
    <t>number_of_lots</t>
  </si>
  <si>
    <t>Number of Lots</t>
  </si>
  <si>
    <t>development_type</t>
  </si>
  <si>
    <t>Development Type</t>
  </si>
  <si>
    <t>buildable_sq_ft</t>
  </si>
  <si>
    <t>Buildable Square Feet</t>
  </si>
  <si>
    <t>buildable_units</t>
  </si>
  <si>
    <t>Buildable Units</t>
  </si>
  <si>
    <t>density</t>
  </si>
  <si>
    <t>Density</t>
  </si>
  <si>
    <t>floor_area_ratio</t>
  </si>
  <si>
    <t>Floor Area Ratio (FAR)</t>
  </si>
  <si>
    <t>home_inventory_cost</t>
  </si>
  <si>
    <t>Home Inventory Cost</t>
  </si>
  <si>
    <t>home_rent</t>
  </si>
  <si>
    <t>Gross Potential Home Rent (Current)</t>
  </si>
  <si>
    <t>home_rent_pro_forma</t>
  </si>
  <si>
    <t>Gross Potential Home Rent (Pro Forma)</t>
  </si>
  <si>
    <t>Tenant Type</t>
  </si>
  <si>
    <t>guarantor</t>
  </si>
  <si>
    <t>Guarantor</t>
  </si>
  <si>
    <t>lease_end</t>
  </si>
  <si>
    <t>Lease Expiration</t>
  </si>
  <si>
    <t>lease_term</t>
  </si>
  <si>
    <t>lease_type</t>
  </si>
  <si>
    <t>Lease Type</t>
  </si>
  <si>
    <t>sale_leaseback</t>
  </si>
  <si>
    <t>Sale/Leaseback</t>
  </si>
  <si>
    <t>tenant</t>
  </si>
  <si>
    <t>acquisition_cost</t>
  </si>
  <si>
    <t>Acquisition Cost</t>
  </si>
  <si>
    <t>adr</t>
  </si>
  <si>
    <t>ADR (Current)</t>
  </si>
  <si>
    <t>adr_pro_forma</t>
  </si>
  <si>
    <t>ADR (Pro Forma)</t>
  </si>
  <si>
    <t>revpar</t>
  </si>
  <si>
    <t>RevPAR (Current)</t>
  </si>
  <si>
    <t>revpar_pro_forma</t>
  </si>
  <si>
    <t>RevPAR (Pro Forma)</t>
  </si>
  <si>
    <t>franchise_fee</t>
  </si>
  <si>
    <t>Franchise Fee</t>
  </si>
  <si>
    <t>pip</t>
  </si>
  <si>
    <t>PIP</t>
  </si>
  <si>
    <t>rrm</t>
  </si>
  <si>
    <t>RRM (Current)</t>
  </si>
  <si>
    <t>rrm_pro_forma</t>
  </si>
  <si>
    <t>RRM (Pro Forma)</t>
  </si>
  <si>
    <t>cap_over_lease</t>
  </si>
  <si>
    <t>Cap Over Lease</t>
  </si>
  <si>
    <t>Marcus &amp; Millichap - National Multi Housing Group - Financial Model Version 1.1.0</t>
  </si>
  <si>
    <t>This NMHG Financial Model is designed to help you quickly develop your financial analysis and integrate it into a MNet Launch Proposal and/or Offering Memorandum. The high-level steps are as follows:</t>
  </si>
  <si>
    <t>* Blue tabs are only output in the Proposal (not the Offering Memorandum)
As you select various options in the model, the correct input and output tabs will be made visible or hidden as appropriate for those options. For example, if you choose to enter a Detailed Rent Roll, then the input tab for summary input will be hidden, and the appropriate detailed rent roll output will become visible.</t>
  </si>
  <si>
    <t>The Financial Model has been carefully developed to match the formatting and design of your MNet Launch document, resulting in a professionally designed, highly integrated package.</t>
  </si>
  <si>
    <t>There are a number of resources available to help with the completion of your financial model:</t>
  </si>
  <si>
    <r>
      <t xml:space="preserve"> - </t>
    </r>
    <r>
      <rPr>
        <b/>
        <sz val="11"/>
        <color theme="1"/>
        <rFont val="Arial"/>
        <family val="2"/>
      </rPr>
      <t>FAQ's</t>
    </r>
    <r>
      <rPr>
        <sz val="11"/>
        <color theme="1"/>
        <rFont val="Arial"/>
        <family val="2"/>
      </rPr>
      <t xml:space="preserve">, </t>
    </r>
    <r>
      <rPr>
        <b/>
        <sz val="11"/>
        <color theme="1"/>
        <rFont val="Arial"/>
        <family val="2"/>
      </rPr>
      <t>Training Videos</t>
    </r>
    <r>
      <rPr>
        <sz val="11"/>
        <color theme="1"/>
        <rFont val="Arial"/>
        <family val="2"/>
      </rPr>
      <t xml:space="preserve">, and related information posted to the </t>
    </r>
    <r>
      <rPr>
        <b/>
        <sz val="11"/>
        <color theme="1"/>
        <rFont val="Arial"/>
        <family val="2"/>
      </rPr>
      <t>Learning Center</t>
    </r>
  </si>
  <si>
    <t>[Click here to visit the Learning Center]</t>
  </si>
  <si>
    <r>
      <t xml:space="preserve"> - </t>
    </r>
    <r>
      <rPr>
        <b/>
        <sz val="11"/>
        <color theme="1"/>
        <rFont val="Arial"/>
        <family val="2"/>
      </rPr>
      <t>Comments</t>
    </r>
    <r>
      <rPr>
        <sz val="11"/>
        <color theme="1"/>
        <rFont val="Arial"/>
        <family val="2"/>
      </rPr>
      <t xml:space="preserve"> and </t>
    </r>
    <r>
      <rPr>
        <b/>
        <sz val="11"/>
        <color theme="1"/>
        <rFont val="Arial"/>
        <family val="2"/>
      </rPr>
      <t>help text</t>
    </r>
    <r>
      <rPr>
        <sz val="11"/>
        <color theme="1"/>
        <rFont val="Arial"/>
        <family val="2"/>
      </rPr>
      <t xml:space="preserve"> in various places within the financial model worksheets.</t>
    </r>
  </si>
  <si>
    <t>Property Information</t>
  </si>
  <si>
    <t>ActivityID</t>
  </si>
  <si>
    <t>Enabled</t>
  </si>
  <si>
    <t>Priced or Unpriced Listing</t>
  </si>
  <si>
    <t>Initial Cash-</t>
  </si>
  <si>
    <t>Date of Analysis/Acquisition</t>
  </si>
  <si>
    <t>Year One</t>
  </si>
  <si>
    <t>on-Cash</t>
  </si>
  <si>
    <t>Unleveraged</t>
  </si>
  <si>
    <t>Leveraged</t>
  </si>
  <si>
    <t>Location Class</t>
  </si>
  <si>
    <t>Cap Rate</t>
  </si>
  <si>
    <t>Return</t>
  </si>
  <si>
    <t xml:space="preserve"> IRR</t>
  </si>
  <si>
    <t>IRR</t>
  </si>
  <si>
    <t>Per SF</t>
  </si>
  <si>
    <t>Per Unit</t>
  </si>
  <si>
    <t>Lot Size (Acres)</t>
  </si>
  <si>
    <t>Rent Roll Input</t>
  </si>
  <si>
    <t xml:space="preserve">Rent Roll Analysis Start Date </t>
  </si>
  <si>
    <t>Rent Roll Input Type</t>
  </si>
  <si>
    <t>Include Loss/Gain to Lease</t>
  </si>
  <si>
    <t>Total Units</t>
  </si>
  <si>
    <t>Total Occupied Units</t>
  </si>
  <si>
    <t>Year 1 Rent Growth</t>
  </si>
  <si>
    <t>Property Description Input</t>
  </si>
  <si>
    <t>Property Name</t>
  </si>
  <si>
    <t>Property Address</t>
  </si>
  <si>
    <t>Property City</t>
  </si>
  <si>
    <t>Property State</t>
  </si>
  <si>
    <t>Property Zip Code</t>
  </si>
  <si>
    <t>Type of Ownership</t>
  </si>
  <si>
    <t>Net Residual Value</t>
  </si>
  <si>
    <t>Do you want a 10 year Cash Flow analysis/IRR calculation?</t>
  </si>
  <si>
    <t xml:space="preserve"> Exit Capitalization Rate</t>
  </si>
  <si>
    <t xml:space="preserve"> Cost of Sale</t>
  </si>
  <si>
    <t>Proposal Price Tab</t>
  </si>
  <si>
    <t>Proposal Purchase Price Increments</t>
  </si>
  <si>
    <t>Capital Expenditures (ie. Renovation Costs, major replacement, etc.)</t>
  </si>
  <si>
    <t>CapEx Schedule</t>
  </si>
  <si>
    <t>If using capital expenditure, then select Yes</t>
  </si>
  <si>
    <t>Years</t>
  </si>
  <si>
    <t>If no, select No or leave blank.</t>
  </si>
  <si>
    <t>Annual Amount</t>
  </si>
  <si>
    <t>Buyer's Acquisition Financing</t>
  </si>
  <si>
    <t>Acquisition Financing Type</t>
  </si>
  <si>
    <t>Mezzanine Financing</t>
  </si>
  <si>
    <t>Interest Rate Compounding</t>
  </si>
  <si>
    <t>Include Refinancing?</t>
  </si>
  <si>
    <t>Seller's Existing Debt</t>
  </si>
  <si>
    <t>Does The Seller Have Existing Debt</t>
  </si>
  <si>
    <t>Loan Amount/Balance</t>
  </si>
  <si>
    <t>Origination Date</t>
  </si>
  <si>
    <t>YR 1</t>
  </si>
  <si>
    <t>YR 3 AVG.</t>
  </si>
  <si>
    <t>DCSR</t>
  </si>
  <si>
    <t>Prepayment Penalty ($)</t>
  </si>
  <si>
    <t>C-C</t>
  </si>
  <si>
    <t>YR 2</t>
  </si>
  <si>
    <t>Existing Loan Type</t>
  </si>
  <si>
    <t>Months of Interest Only</t>
  </si>
  <si>
    <t>Unpriced</t>
  </si>
  <si>
    <t>Loan Assumption</t>
  </si>
  <si>
    <t>New Financing</t>
  </si>
  <si>
    <t>Seller Financing</t>
  </si>
  <si>
    <t>Type</t>
  </si>
  <si>
    <t>Primary Dependency</t>
  </si>
  <si>
    <t>Version</t>
  </si>
  <si>
    <t>StartRow</t>
  </si>
  <si>
    <t>EndRow</t>
  </si>
  <si>
    <t>$B$10</t>
  </si>
  <si>
    <t>CONFIG</t>
  </si>
  <si>
    <t>$B$16</t>
  </si>
  <si>
    <t>$B$17</t>
  </si>
  <si>
    <t>$B$30</t>
  </si>
  <si>
    <t>$B$39</t>
  </si>
  <si>
    <t>$B$44</t>
  </si>
  <si>
    <t>$B$45</t>
  </si>
  <si>
    <t>$B$46</t>
  </si>
  <si>
    <t>$B$47</t>
  </si>
  <si>
    <t>$B$49</t>
  </si>
  <si>
    <t>B8:B9</t>
  </si>
  <si>
    <t>NODEP</t>
  </si>
  <si>
    <t>B11:B13</t>
  </si>
  <si>
    <t>B18:B19</t>
  </si>
  <si>
    <t>B21:B27</t>
  </si>
  <si>
    <t>B35</t>
  </si>
  <si>
    <t>B60</t>
  </si>
  <si>
    <t>IFDEBTVALUE</t>
  </si>
  <si>
    <t>VALUE</t>
  </si>
  <si>
    <t>E35:E44</t>
  </si>
  <si>
    <t>IFCAP</t>
  </si>
  <si>
    <t>B50</t>
  </si>
  <si>
    <t>IFDEBT</t>
  </si>
  <si>
    <t>B52:B55</t>
  </si>
  <si>
    <t>B58:B60</t>
  </si>
  <si>
    <t>B31:B32</t>
  </si>
  <si>
    <t>IFIRR</t>
  </si>
  <si>
    <t>$Z$4</t>
  </si>
  <si>
    <t>$Z$7</t>
  </si>
  <si>
    <t>IFREFI</t>
  </si>
  <si>
    <t>E5:M7</t>
  </si>
  <si>
    <t>E9:M11</t>
  </si>
  <si>
    <t>E13:M13</t>
  </si>
  <si>
    <t>E16:M19</t>
  </si>
  <si>
    <t>$E$16</t>
  </si>
  <si>
    <t>$E$23</t>
  </si>
  <si>
    <t>IFNEWFIN</t>
  </si>
  <si>
    <t>B45</t>
  </si>
  <si>
    <t>New</t>
  </si>
  <si>
    <t>E13:E14</t>
  </si>
  <si>
    <t>IFASSUMED</t>
  </si>
  <si>
    <t>Assumed</t>
  </si>
  <si>
    <t>IFMEZZ</t>
  </si>
  <si>
    <t>G16:G17</t>
  </si>
  <si>
    <t>G23:G24</t>
  </si>
  <si>
    <t>I9:I10</t>
  </si>
  <si>
    <t>I13:I14</t>
  </si>
  <si>
    <t>I16:I17</t>
  </si>
  <si>
    <t>IFREFI_LTV</t>
  </si>
  <si>
    <t>Yes &amp; K11 is LTV…</t>
  </si>
  <si>
    <t>A8</t>
  </si>
  <si>
    <t>IFSUMMARY_1.4</t>
  </si>
  <si>
    <t>Map To</t>
  </si>
  <si>
    <t>A19</t>
  </si>
  <si>
    <t>A30</t>
  </si>
  <si>
    <t>A41</t>
  </si>
  <si>
    <t>B8:G12</t>
  </si>
  <si>
    <t>B16:G20</t>
  </si>
  <si>
    <t>B19:G23</t>
  </si>
  <si>
    <t>B27:G31</t>
  </si>
  <si>
    <t>B30:G34</t>
  </si>
  <si>
    <t>B38:G42</t>
  </si>
  <si>
    <t>B41:G45</t>
  </si>
  <si>
    <t>B49:G53</t>
  </si>
  <si>
    <t>IFSUMMARY_1.5</t>
  </si>
  <si>
    <t>IFSUMMARY_2.3</t>
  </si>
  <si>
    <t>C8:H12</t>
  </si>
  <si>
    <t>C19:H23</t>
  </si>
  <si>
    <t>C30:H34</t>
  </si>
  <si>
    <t>C41:H45</t>
  </si>
  <si>
    <t>IFDETAIL</t>
  </si>
  <si>
    <t>Detail &amp; NumUnits B17</t>
  </si>
  <si>
    <t>C12:C31</t>
  </si>
  <si>
    <t>G12:Gxxx</t>
  </si>
  <si>
    <t>I12:Jxxx</t>
  </si>
  <si>
    <t>L12:Mxxx</t>
  </si>
  <si>
    <t>$E$11</t>
  </si>
  <si>
    <t>NEWOP</t>
  </si>
  <si>
    <t>$E$12</t>
  </si>
  <si>
    <t>$E$13</t>
  </si>
  <si>
    <t>$E$18</t>
  </si>
  <si>
    <t>$E$19</t>
  </si>
  <si>
    <t>$E$26</t>
  </si>
  <si>
    <t>$E$27</t>
  </si>
  <si>
    <t>$E$28</t>
  </si>
  <si>
    <t>$E$29</t>
  </si>
  <si>
    <t>$E$30</t>
  </si>
  <si>
    <t>$E$31</t>
  </si>
  <si>
    <t>$E$32</t>
  </si>
  <si>
    <t>$E$33</t>
  </si>
  <si>
    <t>$E$34</t>
  </si>
  <si>
    <t>$E$35</t>
  </si>
  <si>
    <t>$E$36</t>
  </si>
  <si>
    <t>$F$11</t>
  </si>
  <si>
    <t>$F$12</t>
  </si>
  <si>
    <t>$F$13</t>
  </si>
  <si>
    <t>$F$18</t>
  </si>
  <si>
    <t>$F$19</t>
  </si>
  <si>
    <t>$F$26</t>
  </si>
  <si>
    <t>$F$27</t>
  </si>
  <si>
    <t>$F$28</t>
  </si>
  <si>
    <t>$F$29</t>
  </si>
  <si>
    <t>$F$30</t>
  </si>
  <si>
    <t>$F$31</t>
  </si>
  <si>
    <t>$F$32</t>
  </si>
  <si>
    <t>$F$33</t>
  </si>
  <si>
    <t>$F$34</t>
  </si>
  <si>
    <t>$F$35</t>
  </si>
  <si>
    <t>$F$36</t>
  </si>
  <si>
    <t>$G$11</t>
  </si>
  <si>
    <t>$G$12</t>
  </si>
  <si>
    <t>$G$13</t>
  </si>
  <si>
    <t>$G$18</t>
  </si>
  <si>
    <t>$G$19</t>
  </si>
  <si>
    <t>$G$26</t>
  </si>
  <si>
    <t>$G$27</t>
  </si>
  <si>
    <t>$G$28</t>
  </si>
  <si>
    <t>$G$29</t>
  </si>
  <si>
    <t>$G$30</t>
  </si>
  <si>
    <t>$G$31</t>
  </si>
  <si>
    <t>$G$32</t>
  </si>
  <si>
    <t>$G$33</t>
  </si>
  <si>
    <t>$G$34</t>
  </si>
  <si>
    <t>$G$35</t>
  </si>
  <si>
    <t>$G$36</t>
  </si>
  <si>
    <t>$H$11</t>
  </si>
  <si>
    <t>$H$12</t>
  </si>
  <si>
    <t>$H$13</t>
  </si>
  <si>
    <t>$H$18</t>
  </si>
  <si>
    <t>$H$19</t>
  </si>
  <si>
    <t>$H$26</t>
  </si>
  <si>
    <t>$H$27</t>
  </si>
  <si>
    <t>$H$28</t>
  </si>
  <si>
    <t>$H$29</t>
  </si>
  <si>
    <t>$H$30</t>
  </si>
  <si>
    <t>$H$31</t>
  </si>
  <si>
    <t>$H$32</t>
  </si>
  <si>
    <t>$H$33</t>
  </si>
  <si>
    <t>$H$34</t>
  </si>
  <si>
    <t>$H$35</t>
  </si>
  <si>
    <t>$H$36</t>
  </si>
  <si>
    <t>$I$11</t>
  </si>
  <si>
    <t>$I$12</t>
  </si>
  <si>
    <t>$I$13</t>
  </si>
  <si>
    <t>$I$18</t>
  </si>
  <si>
    <t>$I$19</t>
  </si>
  <si>
    <t>$I$24</t>
  </si>
  <si>
    <t>$I$25</t>
  </si>
  <si>
    <t>$I$26</t>
  </si>
  <si>
    <t>$I$27</t>
  </si>
  <si>
    <t>$I$28</t>
  </si>
  <si>
    <t>$I$29</t>
  </si>
  <si>
    <t>$I$30</t>
  </si>
  <si>
    <t>$I$31</t>
  </si>
  <si>
    <t>$I$32</t>
  </si>
  <si>
    <t>$I$33</t>
  </si>
  <si>
    <t>$I$34</t>
  </si>
  <si>
    <t>$I$35</t>
  </si>
  <si>
    <t>$I$36</t>
  </si>
  <si>
    <t>$I$37</t>
  </si>
  <si>
    <t>$J$9</t>
  </si>
  <si>
    <t>$K$19</t>
  </si>
  <si>
    <t>NEWOPEDITABLE</t>
  </si>
  <si>
    <t>$K$24</t>
  </si>
  <si>
    <t>Z9</t>
  </si>
  <si>
    <t>IFTAXPCT</t>
  </si>
  <si>
    <t>$K$25</t>
  </si>
  <si>
    <t>$K$26</t>
  </si>
  <si>
    <t>$K$27</t>
  </si>
  <si>
    <t>$K$28</t>
  </si>
  <si>
    <t>$K$29</t>
  </si>
  <si>
    <t>$K$30</t>
  </si>
  <si>
    <t>$K$31</t>
  </si>
  <si>
    <t>$K$32</t>
  </si>
  <si>
    <t>$K$33</t>
  </si>
  <si>
    <t>$K$34</t>
  </si>
  <si>
    <t>$K$35</t>
  </si>
  <si>
    <t>$K$36</t>
  </si>
  <si>
    <t>$K$37</t>
  </si>
  <si>
    <t>$L$11</t>
  </si>
  <si>
    <t>$L$12</t>
  </si>
  <si>
    <t>$L$13</t>
  </si>
  <si>
    <t>$L$38</t>
  </si>
  <si>
    <t>$L$7</t>
  </si>
  <si>
    <t>$L$9</t>
  </si>
  <si>
    <t>$M$11</t>
  </si>
  <si>
    <t>$M$12</t>
  </si>
  <si>
    <t>$M$13</t>
  </si>
  <si>
    <t>S15</t>
  </si>
  <si>
    <t>$M$15</t>
  </si>
  <si>
    <t>S16</t>
  </si>
  <si>
    <t>$M$16</t>
  </si>
  <si>
    <t>$M$18</t>
  </si>
  <si>
    <t>$M$19</t>
  </si>
  <si>
    <t>$M$24</t>
  </si>
  <si>
    <t>$M$25</t>
  </si>
  <si>
    <t>$M$26</t>
  </si>
  <si>
    <t>$M$27</t>
  </si>
  <si>
    <t>$M$28</t>
  </si>
  <si>
    <t>$M$29</t>
  </si>
  <si>
    <t>$M$30</t>
  </si>
  <si>
    <t>$M$31</t>
  </si>
  <si>
    <t>$M$32</t>
  </si>
  <si>
    <t>$M$33</t>
  </si>
  <si>
    <t>$M$34</t>
  </si>
  <si>
    <t>$M$35</t>
  </si>
  <si>
    <t>$M$36</t>
  </si>
  <si>
    <t>$M$37</t>
  </si>
  <si>
    <t>$M$38</t>
  </si>
  <si>
    <t>S6</t>
  </si>
  <si>
    <t>$M$6</t>
  </si>
  <si>
    <t>$M$7</t>
  </si>
  <si>
    <t>S8</t>
  </si>
  <si>
    <t>$M$8</t>
  </si>
  <si>
    <t>$M$9</t>
  </si>
  <si>
    <t>D4:E30</t>
  </si>
  <si>
    <t>Pricing User Defined</t>
  </si>
  <si>
    <t>$G$3</t>
  </si>
  <si>
    <t>IFPRICED</t>
  </si>
  <si>
    <t>$C$7</t>
  </si>
  <si>
    <t>$C$13</t>
  </si>
  <si>
    <t>$C$14</t>
  </si>
  <si>
    <t>$C$15</t>
  </si>
  <si>
    <t>$C$16</t>
  </si>
  <si>
    <t>$C$21</t>
  </si>
  <si>
    <t>$I$21</t>
  </si>
  <si>
    <t>$C$22</t>
  </si>
  <si>
    <t>$I$22</t>
  </si>
  <si>
    <t>$C$23</t>
  </si>
  <si>
    <t>$I$23</t>
  </si>
  <si>
    <t>$C$24</t>
  </si>
  <si>
    <t>$B$29</t>
  </si>
  <si>
    <t>$C$29</t>
  </si>
  <si>
    <t>$D$29</t>
  </si>
  <si>
    <t>$C$30</t>
  </si>
  <si>
    <t>$D$30</t>
  </si>
  <si>
    <t>$B$31</t>
  </si>
  <si>
    <t>$C$31</t>
  </si>
  <si>
    <t>$D$31</t>
  </si>
  <si>
    <t>$B$32</t>
  </si>
  <si>
    <t>$C$32</t>
  </si>
  <si>
    <t>$D$32</t>
  </si>
  <si>
    <t>NEWOP_2.1</t>
  </si>
  <si>
    <t>$I$38</t>
  </si>
  <si>
    <t>$I$4</t>
  </si>
  <si>
    <t>$I$6</t>
  </si>
  <si>
    <t>$I$7</t>
  </si>
  <si>
    <t>$I$9</t>
  </si>
  <si>
    <t>$K$11</t>
  </si>
  <si>
    <t>$K$12</t>
  </si>
  <si>
    <t>$K$13</t>
  </si>
  <si>
    <t>$K$38</t>
  </si>
  <si>
    <t>$K$4</t>
  </si>
  <si>
    <t>$K$6</t>
  </si>
  <si>
    <t>$K$7</t>
  </si>
  <si>
    <t>$K$9</t>
  </si>
  <si>
    <t>$M$4</t>
  </si>
  <si>
    <t>Marcus &amp; Millichap - National Multi Housing Group</t>
  </si>
  <si>
    <t>Unit Size Method:</t>
  </si>
  <si>
    <t>Enter up to 4 Primary Unit Types, then up to 5 Sub Unit Types for each Primary to appear on the Rent Roll Summary tab.</t>
  </si>
  <si>
    <r>
      <t xml:space="preserve">Enter individual unit details in the below table.  The information entered in this section, will appear as entered on the Rent Roll Detail tab.  Then select a code from the drop-down list to attribute each unit to a Sub Unit Type from the adjacent table. 
</t>
    </r>
    <r>
      <rPr>
        <i/>
        <sz val="10"/>
        <color rgb="FFFF0000"/>
        <rFont val="Arial"/>
        <family val="2"/>
      </rPr>
      <t>Do not skip any rows in the detail list. Limit - 1000 Units.</t>
    </r>
  </si>
  <si>
    <t>Unit Type Code Definitions</t>
  </si>
  <si>
    <t xml:space="preserve">Include Renovations:  </t>
  </si>
  <si>
    <t xml:space="preserve">Reno Unit </t>
  </si>
  <si>
    <t>1C</t>
  </si>
  <si>
    <t>1D</t>
  </si>
  <si>
    <t>1E</t>
  </si>
  <si>
    <t>2B</t>
  </si>
  <si>
    <t>2C</t>
  </si>
  <si>
    <t>2D</t>
  </si>
  <si>
    <t>2E</t>
  </si>
  <si>
    <t>3C</t>
  </si>
  <si>
    <t>3D</t>
  </si>
  <si>
    <t>3E</t>
  </si>
  <si>
    <t>4E</t>
  </si>
  <si>
    <t>5A</t>
  </si>
  <si>
    <t>5B</t>
  </si>
  <si>
    <t>5C</t>
  </si>
  <si>
    <t>5D</t>
  </si>
  <si>
    <t>5E</t>
  </si>
  <si>
    <t>DEBT FINANCING</t>
  </si>
  <si>
    <r>
      <t>Loan Name/Type</t>
    </r>
    <r>
      <rPr>
        <sz val="10"/>
        <color rgb="FFFF0000"/>
        <rFont val="Times New Roman"/>
        <family val="1"/>
      </rPr>
      <t>*</t>
    </r>
  </si>
  <si>
    <t>LTV</t>
  </si>
  <si>
    <t>Loan Balance</t>
  </si>
  <si>
    <t>LTV using User Defined Cap Rate on NOI in Year of Refinance</t>
  </si>
  <si>
    <t>Term (Years)</t>
  </si>
  <si>
    <t>Maturity Date</t>
  </si>
  <si>
    <t>Amortization Period (Years)</t>
  </si>
  <si>
    <t>Annual Debt Service Payment (P&amp;I only)</t>
  </si>
  <si>
    <t>Equity</t>
  </si>
  <si>
    <t>Cash Out</t>
  </si>
  <si>
    <t>Term Remaining (Months)</t>
  </si>
  <si>
    <t>Loan Origination Fee (0.00%)</t>
  </si>
  <si>
    <t>Loan Cash Flow Summary</t>
  </si>
  <si>
    <t>Year Ending</t>
  </si>
  <si>
    <t xml:space="preserve">Interest </t>
  </si>
  <si>
    <t>Principal</t>
  </si>
  <si>
    <t>Total Interest</t>
  </si>
  <si>
    <t>Total Principal</t>
  </si>
  <si>
    <t>Take-Out Loan</t>
  </si>
  <si>
    <t>Remaining Balance</t>
  </si>
  <si>
    <t>Loan Origination Fee</t>
  </si>
  <si>
    <t>Cash Flow From Financing</t>
  </si>
  <si>
    <t>Loan Amortization Tables</t>
  </si>
  <si>
    <t>Loan</t>
  </si>
  <si>
    <t>Beginning</t>
  </si>
  <si>
    <t>Ending</t>
  </si>
  <si>
    <t>Prepayment</t>
  </si>
  <si>
    <t>Year</t>
  </si>
  <si>
    <t>PMT</t>
  </si>
  <si>
    <t>Payment</t>
  </si>
  <si>
    <t>Interest</t>
  </si>
  <si>
    <t>Penalty</t>
  </si>
  <si>
    <t>Begin Principal Payment</t>
  </si>
  <si>
    <t xml:space="preserve">Crosstown Shoppes </t>
  </si>
  <si>
    <t>Current Avg</t>
  </si>
  <si>
    <t>Reno Unit</t>
  </si>
  <si>
    <t>Total</t>
  </si>
  <si>
    <t>Gross</t>
  </si>
  <si>
    <t>Average</t>
  </si>
  <si>
    <t>Rent / Unit /</t>
  </si>
  <si>
    <t xml:space="preserve">Rent / </t>
  </si>
  <si>
    <t>Rent /</t>
  </si>
  <si>
    <r>
      <t>Sub-unit Type</t>
    </r>
    <r>
      <rPr>
        <b/>
        <sz val="10"/>
        <color rgb="FFFF0000"/>
        <rFont val="Arial"/>
        <family val="2"/>
      </rPr>
      <t>*</t>
    </r>
  </si>
  <si>
    <r>
      <t>Count</t>
    </r>
    <r>
      <rPr>
        <b/>
        <sz val="10"/>
        <color rgb="FFFF0000"/>
        <rFont val="Arial"/>
        <family val="2"/>
      </rPr>
      <t>*</t>
    </r>
  </si>
  <si>
    <r>
      <t>Feet</t>
    </r>
    <r>
      <rPr>
        <b/>
        <sz val="10"/>
        <color rgb="FFFF0000"/>
        <rFont val="Arial"/>
        <family val="2"/>
      </rPr>
      <t>*</t>
    </r>
  </si>
  <si>
    <r>
      <t>Month</t>
    </r>
    <r>
      <rPr>
        <b/>
        <sz val="10"/>
        <color rgb="FFFF0000"/>
        <rFont val="Arial"/>
        <family val="2"/>
      </rPr>
      <t>*</t>
    </r>
  </si>
  <si>
    <t>Month</t>
  </si>
  <si>
    <t>Month / SF</t>
  </si>
  <si>
    <t>Totals / Wtd. Averages</t>
  </si>
  <si>
    <t>Sub-unit Type</t>
  </si>
  <si>
    <t xml:space="preserve"> </t>
  </si>
  <si>
    <t>Units</t>
  </si>
  <si>
    <t>SF</t>
  </si>
  <si>
    <t>Current Rent</t>
  </si>
  <si>
    <t>Scheduled Rent</t>
  </si>
  <si>
    <t>Potential Rent</t>
  </si>
  <si>
    <t>Sub Unit</t>
  </si>
  <si>
    <t>Current Rent /Unit</t>
  </si>
  <si>
    <t>Scheduled Rent /Unit</t>
  </si>
  <si>
    <t>Potential Rent /Unit</t>
  </si>
  <si>
    <t>Current Rent /SF</t>
  </si>
  <si>
    <t>Scheduled Rent /SF</t>
  </si>
  <si>
    <t>Potential Rent /SF</t>
  </si>
  <si>
    <t>Rent /Month</t>
  </si>
  <si>
    <t>Rent /SF</t>
  </si>
  <si>
    <t>Summary Rent /Month</t>
  </si>
  <si>
    <t>Summary Rent /SF</t>
  </si>
  <si>
    <t>Detail Rent /Month</t>
  </si>
  <si>
    <t>Detail Rent /SF</t>
  </si>
  <si>
    <t>Display Rent as:</t>
  </si>
  <si>
    <t>RENT ROLL</t>
  </si>
  <si>
    <t xml:space="preserve">Rents to Show: </t>
  </si>
  <si>
    <t>CURRENT</t>
  </si>
  <si>
    <t>SCHEDULED</t>
  </si>
  <si>
    <t>POTENTIAL</t>
  </si>
  <si>
    <t>Renovation</t>
  </si>
  <si>
    <t>Rent / SF/</t>
  </si>
  <si>
    <t>Rent/ SF/</t>
  </si>
  <si>
    <t>UNIT</t>
  </si>
  <si>
    <t>UNIT TYPE</t>
  </si>
  <si>
    <t>RENT ROLL SUMMARY</t>
  </si>
  <si>
    <t>Unit Rent Chart as:</t>
  </si>
  <si>
    <t xml:space="preserve">Display Rent as: </t>
  </si>
  <si>
    <t xml:space="preserve">Rental Range Rent: </t>
  </si>
  <si>
    <t>Current  Avg</t>
  </si>
  <si>
    <t># OF</t>
  </si>
  <si>
    <t>AVG SQ</t>
  </si>
  <si>
    <t>RENTAL</t>
  </si>
  <si>
    <t xml:space="preserve">Average </t>
  </si>
  <si>
    <t>AVERAGE</t>
  </si>
  <si>
    <t>MONTHLY</t>
  </si>
  <si>
    <t>UNITS</t>
  </si>
  <si>
    <t>FEET</t>
  </si>
  <si>
    <t>RANGE</t>
  </si>
  <si>
    <t>Rent</t>
  </si>
  <si>
    <t>Rent / SF</t>
  </si>
  <si>
    <t>RENT</t>
  </si>
  <si>
    <t>RENT / SF</t>
  </si>
  <si>
    <t>INCOME</t>
  </si>
  <si>
    <t>Min</t>
  </si>
  <si>
    <t>Max</t>
  </si>
  <si>
    <t>TOTALS/WEIGHTED AVERAGES</t>
  </si>
  <si>
    <t>GROSS ANNUALIZED RENTS</t>
  </si>
  <si>
    <t>OPERATING STATEMENT</t>
  </si>
  <si>
    <t xml:space="preserve">Years of History: </t>
  </si>
  <si>
    <t xml:space="preserve">Real Estate Taxes: </t>
  </si>
  <si>
    <t>NOTES</t>
  </si>
  <si>
    <t>PER UNIT</t>
  </si>
  <si>
    <t>PER SF</t>
  </si>
  <si>
    <t>Rental Income</t>
  </si>
  <si>
    <t>Gross Potential Rent</t>
  </si>
  <si>
    <t>Loss / Gain to Lease</t>
  </si>
  <si>
    <t>Remove Input shading</t>
  </si>
  <si>
    <t>Physical Vacancy</t>
  </si>
  <si>
    <t>Economic Vacancy</t>
  </si>
  <si>
    <t>TOTAL VACANCY</t>
  </si>
  <si>
    <t>Economic Occupancy</t>
  </si>
  <si>
    <t>Effective Rental Income</t>
  </si>
  <si>
    <t>Other Income</t>
  </si>
  <si>
    <t>TOTAL OTHER INCOME</t>
  </si>
  <si>
    <t>EFFECTIVE GROSS INCOME</t>
  </si>
  <si>
    <t>EXPENSES</t>
  </si>
  <si>
    <t>Real Estate Taxes</t>
  </si>
  <si>
    <t>Insurance</t>
  </si>
  <si>
    <t>Operating Expenses</t>
  </si>
  <si>
    <t>Operating Reserves</t>
  </si>
  <si>
    <t>Management Fee</t>
  </si>
  <si>
    <t>TOTAL EXPENSES</t>
  </si>
  <si>
    <t>EXPENSES AS % OF EGI</t>
  </si>
  <si>
    <t>NET OPERATING INCOME</t>
  </si>
  <si>
    <t>Notes and assumptions to the above analysis are on the following page.</t>
  </si>
  <si>
    <t>NOTES TO OPERATING STATEMENT</t>
  </si>
  <si>
    <t>PRICING DETAILS</t>
  </si>
  <si>
    <t xml:space="preserve">Summary </t>
  </si>
  <si>
    <t xml:space="preserve">Price </t>
  </si>
  <si>
    <t xml:space="preserve">Number of Units </t>
  </si>
  <si>
    <t xml:space="preserve">Price Per Unit </t>
  </si>
  <si>
    <t xml:space="preserve">Price Per SqFt </t>
  </si>
  <si>
    <t>Rentable Square Feet</t>
  </si>
  <si>
    <t xml:space="preserve">Approx. Year Built </t>
  </si>
  <si>
    <t xml:space="preserve">Operating Data </t>
  </si>
  <si>
    <t xml:space="preserve">No. Of Units </t>
  </si>
  <si>
    <t xml:space="preserve">Bdr/Baths </t>
  </si>
  <si>
    <t xml:space="preserve">SqFt/Unit </t>
  </si>
  <si>
    <t xml:space="preserve">Current Rents </t>
  </si>
  <si>
    <t xml:space="preserve">Market Rents </t>
  </si>
  <si>
    <t xml:space="preserve">Financing </t>
  </si>
  <si>
    <t xml:space="preserve">Loan Amount </t>
  </si>
  <si>
    <t xml:space="preserve">Loan Type </t>
  </si>
  <si>
    <t xml:space="preserve">Interest Rate </t>
  </si>
  <si>
    <t xml:space="preserve">Amortization </t>
  </si>
  <si>
    <t xml:space="preserve">Year Due </t>
  </si>
  <si>
    <t>Loan information is subject to change.  Contact your local Marcus and Millichap Capital Corporation representative.</t>
  </si>
  <si>
    <t>Expenses</t>
  </si>
  <si>
    <t>Gross Scheduled Rent</t>
  </si>
  <si>
    <t xml:space="preserve">Less: Vacancy/Deductions (GPR) </t>
  </si>
  <si>
    <t>Total Effective Rental Income</t>
  </si>
  <si>
    <t xml:space="preserve">Other Income </t>
  </si>
  <si>
    <t xml:space="preserve">Less: Expenses </t>
  </si>
  <si>
    <t xml:space="preserve">Principal Reduction </t>
  </si>
  <si>
    <t>Total Return</t>
  </si>
  <si>
    <t>Total Expenses</t>
  </si>
  <si>
    <t>Expenses/Unit</t>
  </si>
  <si>
    <t>Expenses/SF</t>
  </si>
  <si>
    <t xml:space="preserve">SUMMARY </t>
  </si>
  <si>
    <t>OPERATING DATA</t>
  </si>
  <si>
    <t xml:space="preserve">Rent Multiplier: </t>
  </si>
  <si>
    <t>Less: Vacancy/Deductions</t>
  </si>
  <si>
    <t>RETURNS</t>
  </si>
  <si>
    <t>CAP Rate</t>
  </si>
  <si>
    <t>Cash-on-Cash</t>
  </si>
  <si>
    <t xml:space="preserve">Debt Coverage Ratio </t>
  </si>
  <si>
    <t>TOTAL RETURN</t>
  </si>
  <si>
    <t xml:space="preserve">FINANCING </t>
  </si>
  <si>
    <t xml:space="preserve">  Loan information is subject to change. Contact your Marcus &amp; Millichap Capital Corporation representative.</t>
  </si>
  <si>
    <t># OF UNITS</t>
  </si>
  <si>
    <t xml:space="preserve">SQFT/UNIT </t>
  </si>
  <si>
    <t>SCHEDULED RENTS</t>
  </si>
  <si>
    <t>MARKET RENTS</t>
  </si>
  <si>
    <t>IRR Year</t>
  </si>
  <si>
    <t>IRR Unlevered</t>
  </si>
  <si>
    <t>GROWTH RATE PROJECTIONS</t>
  </si>
  <si>
    <t>Economic Vacancy (1)</t>
  </si>
  <si>
    <t>Total Vacancy</t>
  </si>
  <si>
    <t>(1) Displayed as a % of Gross Potential Rent</t>
  </si>
  <si>
    <t>(2) Management Fees Calculated by % of EGR</t>
  </si>
  <si>
    <t>CASH FLOW</t>
  </si>
  <si>
    <t>Change in cash Flow</t>
  </si>
  <si>
    <t>PURCHASE PRICE / NET RESIDUAL VALUE</t>
  </si>
  <si>
    <t>Purchase Price/Net Residual Value</t>
  </si>
  <si>
    <t>Cash Flow Before Debt Financing</t>
  </si>
  <si>
    <t>Loan Origination Fees</t>
  </si>
  <si>
    <t>Closing Costs</t>
  </si>
  <si>
    <t>Debt Service - Interest</t>
  </si>
  <si>
    <t>Debt Service - Principal</t>
  </si>
  <si>
    <t>Cash Flow After Debt Financing</t>
  </si>
  <si>
    <t>INVESTOR RETURN</t>
  </si>
  <si>
    <t>IRR-Unleveraged</t>
  </si>
  <si>
    <t>IRR-Leveraged</t>
  </si>
  <si>
    <t xml:space="preserve">Capitalization Rate </t>
  </si>
  <si>
    <t>Cashflow</t>
  </si>
  <si>
    <t>Disposition - Cost of Sale + NOI</t>
  </si>
  <si>
    <t>10/Net</t>
  </si>
  <si>
    <t>Cost of Sale</t>
  </si>
  <si>
    <t>Disposition</t>
  </si>
  <si>
    <t>Pro Forma Pricing CF Scenarios</t>
  </si>
  <si>
    <t>Year 11 Unleveraged CF</t>
  </si>
  <si>
    <t>Year 11 Leveraged CF</t>
  </si>
  <si>
    <t>Cash flow</t>
  </si>
  <si>
    <t>10 Net</t>
  </si>
  <si>
    <t>11 Net</t>
  </si>
  <si>
    <t>Balloon</t>
  </si>
  <si>
    <t>Disposition based on Exit Cap from Input Tab</t>
  </si>
  <si>
    <t/>
  </si>
  <si>
    <t>PROPOSAL PRICE</t>
  </si>
  <si>
    <t xml:space="preserve">                                                                                                                                                                                                                                                                                                                                                                                                                                                                                            </t>
  </si>
  <si>
    <t>A TRADE PRICE IN THE CURRENT INVESTMENT ENVIRONMENT OF</t>
  </si>
  <si>
    <t xml:space="preserve">Number of Increments: </t>
  </si>
  <si>
    <t xml:space="preserve">Display Increments for: </t>
  </si>
  <si>
    <t>Purchase</t>
  </si>
  <si>
    <t>Unlevered</t>
  </si>
  <si>
    <t>Levered</t>
  </si>
  <si>
    <t>to</t>
  </si>
  <si>
    <t>MARKET LOAN</t>
  </si>
  <si>
    <t>Amortization Period</t>
  </si>
  <si>
    <t>Annual Loan Constant</t>
  </si>
  <si>
    <t>PROPERTY DETAILS</t>
  </si>
  <si>
    <t>Total Number of Units</t>
  </si>
  <si>
    <t>Total Square Feet</t>
  </si>
  <si>
    <t>Average Monthly Rent Per Unit</t>
  </si>
  <si>
    <t>Average Square Feet Per Unit</t>
  </si>
  <si>
    <t>Asset Type</t>
  </si>
  <si>
    <t>Multifamily</t>
  </si>
  <si>
    <t>Year 7</t>
  </si>
  <si>
    <t>Year 8</t>
  </si>
  <si>
    <t>Year 9</t>
  </si>
  <si>
    <t>Year 10</t>
  </si>
  <si>
    <t>PROPOSAL PRICE IRR</t>
  </si>
  <si>
    <t>NET RESIDUAL VALUE</t>
  </si>
  <si>
    <t>Year Capitalized</t>
  </si>
  <si>
    <t>Capitalization Rate - Terminal</t>
  </si>
  <si>
    <t>STRATEGIC OWNERSHIP OPTIONS</t>
  </si>
  <si>
    <t>NOI to use for Hold &amp; Refinance Scenarios:</t>
  </si>
  <si>
    <t>SALE</t>
  </si>
  <si>
    <t>RETURN OPTIONS ORDER</t>
  </si>
  <si>
    <t>Sale Price</t>
  </si>
  <si>
    <t>SE</t>
  </si>
  <si>
    <t>Less: Commissions/Adjustments</t>
  </si>
  <si>
    <t>H</t>
  </si>
  <si>
    <t>Less: Mortgage Balance</t>
  </si>
  <si>
    <t>R</t>
  </si>
  <si>
    <t>Less: Prepayment Penalty</t>
  </si>
  <si>
    <t>SELL &amp; EXCHANGE</t>
  </si>
  <si>
    <t>HOLD</t>
  </si>
  <si>
    <t>REFINANCE</t>
  </si>
  <si>
    <t>Property Type</t>
  </si>
  <si>
    <t>Address</t>
  </si>
  <si>
    <t>City, State</t>
  </si>
  <si>
    <t>Price (Appraised Value)</t>
  </si>
  <si>
    <t>Current Loan Balance</t>
  </si>
  <si>
    <t>Down Payment*</t>
  </si>
  <si>
    <t>Current Equity</t>
  </si>
  <si>
    <t>New Loan Amount</t>
  </si>
  <si>
    <t>Mortgage Balance</t>
  </si>
  <si>
    <t>Net Proceeds From New Loan</t>
  </si>
  <si>
    <t xml:space="preserve"> - </t>
  </si>
  <si>
    <t>Net Operating Income</t>
  </si>
  <si>
    <t>Less: Debt Service</t>
  </si>
  <si>
    <t>Net Cash Flow After Debt Service</t>
  </si>
  <si>
    <t>Return on Equity</t>
  </si>
  <si>
    <t>* Calculated as gross selling price minus loan balance, commission, applicable prepayment and/or miscellaneous amounts</t>
  </si>
  <si>
    <t>#</t>
  </si>
  <si>
    <t>Offset</t>
  </si>
  <si>
    <t>Included?</t>
  </si>
  <si>
    <t>SCENARIO RETURNS ANALYSIS</t>
  </si>
  <si>
    <t>Property</t>
  </si>
  <si>
    <t>1 Bed Avg Rent</t>
  </si>
  <si>
    <t>2 Bed Avg Rent</t>
  </si>
  <si>
    <t>3 Bed Avg Rent</t>
  </si>
  <si>
    <t>4 Bed Avg Rent</t>
  </si>
  <si>
    <t>Subject</t>
  </si>
  <si>
    <t>Comp 1</t>
  </si>
  <si>
    <t>Comp 2</t>
  </si>
  <si>
    <t>Comp 3</t>
  </si>
  <si>
    <t>Comp 4</t>
  </si>
  <si>
    <t>2 Bed / 1 Bath</t>
  </si>
  <si>
    <t>420-A</t>
  </si>
  <si>
    <t>Total Gross Square Feet</t>
  </si>
  <si>
    <t>420-B</t>
  </si>
  <si>
    <t>420-C</t>
  </si>
  <si>
    <t>420-D</t>
  </si>
  <si>
    <t>420-E</t>
  </si>
  <si>
    <t>420-F</t>
  </si>
  <si>
    <t>420-G</t>
  </si>
  <si>
    <t>420-H</t>
  </si>
  <si>
    <t>428-1</t>
  </si>
  <si>
    <t>428-2</t>
  </si>
  <si>
    <t>428-3</t>
  </si>
  <si>
    <t>428-4</t>
  </si>
  <si>
    <t>428-5</t>
  </si>
  <si>
    <t>428-6</t>
  </si>
  <si>
    <t>428-7</t>
  </si>
  <si>
    <t>428-8</t>
  </si>
  <si>
    <t>428-9</t>
  </si>
  <si>
    <t>428-10</t>
  </si>
  <si>
    <t>428-11</t>
  </si>
  <si>
    <t>428-12</t>
  </si>
  <si>
    <t>428-14</t>
  </si>
  <si>
    <t>428-15</t>
  </si>
  <si>
    <t>428-16</t>
  </si>
  <si>
    <t>428-17</t>
  </si>
  <si>
    <t>428-18</t>
  </si>
  <si>
    <t>428-19</t>
  </si>
  <si>
    <t>Tax Rate %</t>
  </si>
  <si>
    <t>Pro Forma</t>
  </si>
  <si>
    <t>420 -House</t>
  </si>
  <si>
    <t>4 Bed / 3 Bath House</t>
  </si>
  <si>
    <t>2 Bed / 1 Bath (vacant)</t>
  </si>
  <si>
    <t>Pest Control</t>
  </si>
  <si>
    <t>Onsite Manager</t>
  </si>
  <si>
    <t>Utilities - Water &amp; Power</t>
  </si>
  <si>
    <t>Other income reflects current parking revenue of $485/mo ($5,820 annually) collected across both buildings per the rent roll. No on-site laundry income is currently collected.</t>
  </si>
  <si>
    <t>Property insurance based on $1,040/unit reflecting current LA County market conditions. Owner's 2024 actual was $18,127; increase reflects post-wildfire rate environment across Southern California carriers.</t>
  </si>
  <si>
    <t>Water and power includes water, sewer, and common area electric. Units are individually metered for gas and electric; landlord responsibility is limited to common area usage and water/sewer. Owner's 2024 actual was $18,756; adjusted upward for projected rate increases.</t>
  </si>
  <si>
    <t>Gas reflects common area usage only. All units are individually metered for gas. Owner's 2024 actual was $2,240.</t>
  </si>
  <si>
    <t>Trash removal based on $656/unit. Owner's 2024 actual was $13,308; adjusted for anticipated City of Glendale rate increases.</t>
  </si>
  <si>
    <t>Repairs and maintenance normalized at $750/unit. Owner's 2024 R&amp;M was $11,833 on the P&amp;L with an additional $117,264 in non-recurring capital expenditures (deck, plumbing/electrical, windows, painting, HVAC).</t>
  </si>
  <si>
    <t>Landscaping based on owner's 2024 actual gardening expense of $4,800.</t>
  </si>
  <si>
    <t>Pest control based on owner's 2024 actual of $660, rounded to $700.</t>
  </si>
  <si>
    <t>On-site manager required per California Civil Code Section 17995.1 for properties with 16+ units. Estimated value of rent-free unit plus nominal stipend. Owner's 2024 payroll was $5,116 reflecting part-time/informal arrangement.</t>
  </si>
  <si>
    <t>General and administrative at $80/unit includes legal, accounting, office supplies, and miscellaneous overhead. Owner's 2024 actual was $1,050.</t>
  </si>
  <si>
    <t>Operating reserves at $150/unit for capital replacement and deferred maintenance. Building is 1953 vintage; owner completed $117,264 in capital improvements during 2024.</t>
  </si>
  <si>
    <t>Management fee at 4.0% of effective gross income. Reflects third-party professional property management. Owner currently self-manages.</t>
  </si>
  <si>
    <t>Approx</t>
  </si>
  <si>
    <t>Real estate taxes estimated at 1.13% of Price. Current owner's Prop 13 basis is $48,588. Buyer should anticipate reassessment to full market value at close of escrow.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</si>
</sst>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 #,##0_-;_-* &quot;-&quot;_-;_-@_-"/>
    <numFmt numFmtId="165" formatCode="_-* #,##0.00_-;\-* #,##0.00_-;_-* &quot;-&quot;??_-;_-@_-"/>
    <numFmt numFmtId="166" formatCode="&quot;$&quot;#,##0"/>
    <numFmt numFmtId="167" formatCode="_(* #,##0_);_(* \(#,##0\);_(* &quot;-&quot;??_);_(@_)"/>
    <numFmt numFmtId="168" formatCode="0.0%"/>
    <numFmt numFmtId="169" formatCode="&quot;$&quot;#,##0.00"/>
    <numFmt numFmtId="170" formatCode="0\ &quot;Years&quot;"/>
    <numFmt numFmtId="171" formatCode="0.0000%"/>
    <numFmt numFmtId="172" formatCode="0.0%\,\-"/>
    <numFmt numFmtId="173" formatCode="#,##0.0"/>
    <numFmt numFmtId="174" formatCode="_(* #,##0.0_);_(* \(#,##0.0\);_(* &quot;-&quot;??_);_(@_)"/>
    <numFmt numFmtId="175" formatCode="_ * #,##0.00_ ;_ * \-#,##0.00_ ;_ * &quot;-&quot;??_ ;_ @_ "/>
    <numFmt numFmtId="176" formatCode="0.000%"/>
    <numFmt numFmtId="177" formatCode="&quot;$&quot;#,##0.0000_);\(&quot;$&quot;#,##0.0000\)"/>
    <numFmt numFmtId="178" formatCode="_-* #,##0.0_-;\-* #,##0.0_-;_-* &quot;-&quot;??_-;_-@_-"/>
    <numFmt numFmtId="179" formatCode="0.00_)"/>
    <numFmt numFmtId="180" formatCode="_-&quot;£&quot;* #,##0_-;\-&quot;£&quot;* #,##0_-;_-&quot;£&quot;* &quot;-&quot;_-;_-@_-"/>
    <numFmt numFmtId="181" formatCode="_-&quot;£&quot;* #,##0.00_-;\-&quot;£&quot;* #,##0.00_-;_-&quot;£&quot;* &quot;-&quot;??_-;_-@_-"/>
    <numFmt numFmtId="182" formatCode="#,##0\ &quot;SF&quot;"/>
    <numFmt numFmtId="183" formatCode="#,##0\ &quot;Units&quot;"/>
    <numFmt numFmtId="184" formatCode="_(&quot;$&quot;* #,##0_);_(&quot;$&quot;* \(#,##0\);_(&quot;$&quot;* &quot;-&quot;??_);_(@_)"/>
    <numFmt numFmtId="185" formatCode="_(* #,##0.0000_);_(* \(#,##0.0000\);_(* &quot;-&quot;????_);_(@_)"/>
    <numFmt numFmtId="186" formatCode="&quot;[&quot;0\]"/>
    <numFmt numFmtId="187" formatCode="[$-409]mmmm\ yyyy;@"/>
    <numFmt numFmtId="188" formatCode="#,##0\ &quot;Years&quot;"/>
    <numFmt numFmtId="189" formatCode="mmmm\-yyyy"/>
    <numFmt numFmtId="190" formatCode="#,##0\ &quot;Months&quot;"/>
    <numFmt numFmtId="191" formatCode="mmm\-yyyy"/>
    <numFmt numFmtId="192" formatCode="&quot;$&quot;#,##0;[Red]&quot;$&quot;#,##0"/>
    <numFmt numFmtId="193" formatCode="yyyy"/>
    <numFmt numFmtId="194" formatCode="0\ &quot;Months&quot;"/>
    <numFmt numFmtId="195" formatCode="General\ &quot;Years&quot;"/>
    <numFmt numFmtId="196" formatCode="0.000"/>
    <numFmt numFmtId="197" formatCode="#,##0.00\ &quot;Acres&quot;"/>
    <numFmt numFmtId="198" formatCode="&quot;$&quot;#,##0.00000"/>
    <numFmt numFmtId="199" formatCode="0.00000"/>
  </numFmts>
  <fonts count="184">
    <font>
      <sz val="10"/>
      <color theme="1"/>
      <name val="Arial"/>
      <family val="2"/>
    </font>
    <font>
      <sz val="11"/>
      <color theme="1"/>
      <name val="HelveticaNeue LT 55 Roman"/>
      <family val="2"/>
      <scheme val="minor"/>
    </font>
    <font>
      <sz val="11"/>
      <color theme="1"/>
      <name val="HelveticaNeue LT 55 Roman"/>
      <family val="2"/>
      <scheme val="minor"/>
    </font>
    <font>
      <sz val="11"/>
      <color indexed="8"/>
      <name val="Calibri"/>
      <family val="2"/>
    </font>
    <font>
      <sz val="10"/>
      <color indexed="8"/>
      <name val="Arial"/>
      <family val="2"/>
    </font>
    <font>
      <sz val="10"/>
      <name val="Times New Roman"/>
      <family val="1"/>
    </font>
    <font>
      <sz val="10"/>
      <name val="Arial"/>
      <family val="2"/>
    </font>
    <font>
      <sz val="9"/>
      <name val="Tahoma"/>
      <family val="2"/>
    </font>
    <font>
      <b/>
      <sz val="12"/>
      <name val="Times New Roman"/>
      <family val="1"/>
    </font>
    <font>
      <sz val="11"/>
      <color indexed="8"/>
      <name val="Calibri"/>
      <family val="2"/>
    </font>
    <font>
      <sz val="10"/>
      <color indexed="8"/>
      <name val="Arial"/>
      <family val="2"/>
    </font>
    <font>
      <sz val="12"/>
      <color indexed="8"/>
      <name val="Arial"/>
      <family val="2"/>
    </font>
    <font>
      <sz val="8"/>
      <name val="Arial"/>
      <family val="2"/>
    </font>
    <font>
      <b/>
      <sz val="12"/>
      <name val="Arial"/>
      <family val="2"/>
    </font>
    <font>
      <sz val="7"/>
      <name val="Small Fonts"/>
      <family val="2"/>
    </font>
    <font>
      <b/>
      <sz val="11"/>
      <name val="Tahoma"/>
      <family val="2"/>
    </font>
    <font>
      <b/>
      <sz val="10"/>
      <name val="Tahoma"/>
      <family val="2"/>
    </font>
    <font>
      <sz val="10"/>
      <name val="Times New Roman"/>
      <family val="1"/>
    </font>
    <font>
      <b/>
      <sz val="10"/>
      <name val="Helv"/>
    </font>
    <font>
      <b/>
      <i/>
      <sz val="16"/>
      <name val="Helv"/>
    </font>
    <font>
      <sz val="10"/>
      <color indexed="12"/>
      <name val="Times New Roman"/>
      <family val="1"/>
    </font>
    <font>
      <sz val="9"/>
      <color indexed="81"/>
      <name val="Tahoma"/>
      <family val="2"/>
    </font>
    <font>
      <sz val="9"/>
      <color indexed="81"/>
      <name val="Arial Narrow"/>
      <family val="2"/>
    </font>
    <font>
      <sz val="10"/>
      <color theme="1"/>
      <name val="Arial"/>
      <family val="2"/>
    </font>
    <font>
      <sz val="11"/>
      <color theme="1"/>
      <name val="HelveticaNeue LT 55 Roman"/>
      <family val="2"/>
      <scheme val="minor"/>
    </font>
    <font>
      <u/>
      <sz val="10"/>
      <color theme="10"/>
      <name val="Arial"/>
      <family val="2"/>
    </font>
    <font>
      <b/>
      <sz val="10"/>
      <color theme="1"/>
      <name val="Arial"/>
      <family val="2"/>
    </font>
    <font>
      <sz val="7"/>
      <color theme="0"/>
      <name val="HelveticaNeue LT 55 Roman"/>
      <family val="2"/>
      <scheme val="minor"/>
    </font>
    <font>
      <sz val="7"/>
      <color theme="1"/>
      <name val="HelveticaNeue LT 55 Roman"/>
      <family val="2"/>
      <scheme val="minor"/>
    </font>
    <font>
      <b/>
      <sz val="7"/>
      <color theme="1"/>
      <name val="HelveticaNeue LT 55 Roman"/>
      <family val="2"/>
      <scheme val="minor"/>
    </font>
    <font>
      <sz val="7"/>
      <color indexed="8"/>
      <name val="HelveticaNeue LT 55 Roman"/>
      <family val="2"/>
      <scheme val="minor"/>
    </font>
    <font>
      <sz val="7"/>
      <name val="HelveticaNeue LT 55 Roman"/>
      <family val="2"/>
      <scheme val="minor"/>
    </font>
    <font>
      <b/>
      <sz val="7"/>
      <name val="HelveticaNeue LT 55 Roman"/>
      <family val="2"/>
      <scheme val="minor"/>
    </font>
    <font>
      <b/>
      <sz val="7"/>
      <color indexed="9"/>
      <name val="HelveticaNeue LT 55 Roman"/>
      <family val="2"/>
      <scheme val="minor"/>
    </font>
    <font>
      <b/>
      <sz val="7"/>
      <color indexed="8"/>
      <name val="HelveticaNeue LT 55 Roman"/>
      <family val="2"/>
      <scheme val="minor"/>
    </font>
    <font>
      <b/>
      <sz val="7"/>
      <color rgb="FF0070C0"/>
      <name val="HelveticaNeue LT 55 Roman"/>
      <family val="2"/>
      <scheme val="minor"/>
    </font>
    <font>
      <b/>
      <sz val="7"/>
      <color indexed="56"/>
      <name val="HelveticaNeue LT 55 Roman"/>
      <family val="2"/>
      <scheme val="minor"/>
    </font>
    <font>
      <sz val="11"/>
      <color theme="3"/>
      <name val="HelveticaNeue LT 55 Roman"/>
      <family val="2"/>
    </font>
    <font>
      <sz val="6"/>
      <name val="HelveticaNeue LT 55 Roman"/>
      <family val="2"/>
      <scheme val="minor"/>
    </font>
    <font>
      <b/>
      <sz val="7"/>
      <color theme="3"/>
      <name val="HelveticaNeue LT 55 Roman"/>
      <family val="2"/>
      <scheme val="minor"/>
    </font>
    <font>
      <u/>
      <sz val="7"/>
      <color indexed="8"/>
      <name val="HelveticaNeue LT 55 Roman"/>
      <family val="2"/>
      <scheme val="minor"/>
    </font>
    <font>
      <sz val="9"/>
      <color indexed="8"/>
      <name val="HelveticaNeue LT 55 Roman"/>
      <family val="2"/>
      <scheme val="minor"/>
    </font>
    <font>
      <sz val="9"/>
      <name val="HelveticaNeue LT 55 Roman"/>
      <family val="2"/>
      <scheme val="minor"/>
    </font>
    <font>
      <b/>
      <sz val="9"/>
      <color indexed="8"/>
      <name val="HelveticaNeue LT 55 Roman"/>
      <family val="2"/>
      <scheme val="minor"/>
    </font>
    <font>
      <sz val="7"/>
      <color theme="1"/>
      <name val="HelveticaNeue LT 75 Bold"/>
      <family val="2"/>
    </font>
    <font>
      <sz val="7"/>
      <color theme="1"/>
      <name val="HelveticaNeue LT 75 Bold"/>
      <family val="2"/>
      <scheme val="major"/>
    </font>
    <font>
      <sz val="9"/>
      <color theme="1"/>
      <name val="HelveticaNeue LT 55 Roman"/>
      <family val="2"/>
      <scheme val="minor"/>
    </font>
    <font>
      <sz val="11"/>
      <color theme="3"/>
      <name val="HelveticaNeue LT 75 Bold"/>
      <family val="2"/>
    </font>
    <font>
      <sz val="8"/>
      <color theme="1"/>
      <name val="HelveticaNeue LT 75 Bold"/>
      <family val="2"/>
      <scheme val="major"/>
    </font>
    <font>
      <sz val="8"/>
      <color indexed="9"/>
      <name val="HelveticaNeue LT 75 Bold"/>
      <family val="2"/>
      <scheme val="major"/>
    </font>
    <font>
      <sz val="8"/>
      <color theme="0"/>
      <name val="HelveticaNeue LT 75 Bold"/>
      <family val="2"/>
      <scheme val="major"/>
    </font>
    <font>
      <sz val="8"/>
      <color theme="1"/>
      <name val="HelveticaNeue LT 55 Roman"/>
      <family val="2"/>
      <scheme val="minor"/>
    </font>
    <font>
      <sz val="8"/>
      <color indexed="8"/>
      <name val="HelveticaNeue LT 75 Bold"/>
      <family val="2"/>
      <scheme val="major"/>
    </font>
    <font>
      <sz val="8"/>
      <color indexed="8"/>
      <name val="HelveticaNeue LT 55 Roman"/>
      <family val="2"/>
      <scheme val="minor"/>
    </font>
    <font>
      <sz val="8"/>
      <name val="HelveticaNeue LT 55 Roman"/>
      <family val="2"/>
      <scheme val="minor"/>
    </font>
    <font>
      <sz val="8"/>
      <color theme="1"/>
      <name val="HelveticaNeue LT 75 Bold"/>
      <family val="2"/>
    </font>
    <font>
      <b/>
      <sz val="11"/>
      <color theme="0"/>
      <name val="Times New Roman"/>
      <family val="1"/>
    </font>
    <font>
      <sz val="11"/>
      <color theme="0"/>
      <name val="Times New Roman"/>
      <family val="1"/>
    </font>
    <font>
      <sz val="11"/>
      <color theme="1"/>
      <name val="Times New Roman"/>
      <family val="1"/>
    </font>
    <font>
      <b/>
      <sz val="11"/>
      <color theme="1"/>
      <name val="Times New Roman"/>
      <family val="1"/>
    </font>
    <font>
      <sz val="11"/>
      <color indexed="8"/>
      <name val="Times New Roman"/>
      <family val="1"/>
    </font>
    <font>
      <sz val="11"/>
      <name val="Times New Roman"/>
      <family val="1"/>
    </font>
    <font>
      <sz val="11"/>
      <color rgb="FFFF0000"/>
      <name val="Times New Roman"/>
      <family val="1"/>
    </font>
    <font>
      <b/>
      <sz val="11"/>
      <name val="Times New Roman"/>
      <family val="1"/>
    </font>
    <font>
      <b/>
      <sz val="11"/>
      <color indexed="8"/>
      <name val="Times New Roman"/>
      <family val="1"/>
    </font>
    <font>
      <b/>
      <sz val="12"/>
      <color theme="0"/>
      <name val="Times New Roman"/>
      <family val="1"/>
    </font>
    <font>
      <b/>
      <sz val="10"/>
      <color indexed="12"/>
      <name val="Times New Roman"/>
      <family val="1"/>
    </font>
    <font>
      <b/>
      <sz val="10"/>
      <color theme="0"/>
      <name val="Times New Roman"/>
      <family val="1"/>
    </font>
    <font>
      <sz val="10"/>
      <color theme="0"/>
      <name val="Times New Roman"/>
      <family val="1"/>
    </font>
    <font>
      <b/>
      <sz val="10"/>
      <name val="Times New Roman"/>
      <family val="1"/>
    </font>
    <font>
      <b/>
      <u/>
      <sz val="10"/>
      <name val="Times New Roman"/>
      <family val="1"/>
    </font>
    <font>
      <b/>
      <sz val="10"/>
      <color theme="2" tint="-0.499984740745262"/>
      <name val="Times New Roman"/>
      <family val="1"/>
    </font>
    <font>
      <b/>
      <sz val="11"/>
      <color indexed="81"/>
      <name val="Times New Roman"/>
      <family val="1"/>
    </font>
    <font>
      <sz val="11"/>
      <color indexed="81"/>
      <name val="Times New Roman"/>
      <family val="1"/>
    </font>
    <font>
      <sz val="12"/>
      <color indexed="81"/>
      <name val="Times New Roman"/>
      <family val="1"/>
    </font>
    <font>
      <b/>
      <sz val="12"/>
      <color indexed="81"/>
      <name val="Times New Roman"/>
      <family val="1"/>
    </font>
    <font>
      <sz val="10"/>
      <color theme="1"/>
      <name val="Times New Roman"/>
      <family val="1"/>
    </font>
    <font>
      <i/>
      <sz val="8"/>
      <color theme="1"/>
      <name val="HelveticaNeue LT 75 Bold"/>
      <family val="2"/>
      <scheme val="major"/>
    </font>
    <font>
      <sz val="10"/>
      <color rgb="FFFF0000"/>
      <name val="Times New Roman"/>
      <family val="1"/>
    </font>
    <font>
      <b/>
      <sz val="10"/>
      <color theme="1"/>
      <name val="Times New Roman"/>
      <family val="1"/>
    </font>
    <font>
      <i/>
      <sz val="10"/>
      <color theme="1"/>
      <name val="Arial"/>
      <family val="2"/>
    </font>
    <font>
      <u/>
      <sz val="9"/>
      <color indexed="81"/>
      <name val="Tahoma"/>
      <family val="2"/>
    </font>
    <font>
      <i/>
      <sz val="10"/>
      <color rgb="FFFF0000"/>
      <name val="Arial"/>
      <family val="2"/>
    </font>
    <font>
      <sz val="10"/>
      <color theme="0"/>
      <name val="Arial"/>
      <family val="2"/>
    </font>
    <font>
      <b/>
      <sz val="9"/>
      <color indexed="81"/>
      <name val="Tahoma"/>
      <family val="2"/>
    </font>
    <font>
      <b/>
      <sz val="10"/>
      <color theme="0"/>
      <name val="Arial"/>
      <family val="2"/>
    </font>
    <font>
      <b/>
      <sz val="10"/>
      <color rgb="FFFF0000"/>
      <name val="Arial"/>
      <family val="2"/>
    </font>
    <font>
      <b/>
      <sz val="12"/>
      <color rgb="FFFF0000"/>
      <name val="HelveticaNeue LT 75 Bold"/>
      <family val="2"/>
      <scheme val="major"/>
    </font>
    <font>
      <sz val="11"/>
      <color theme="1"/>
      <name val="Arial"/>
      <family val="2"/>
    </font>
    <font>
      <sz val="12"/>
      <color theme="1"/>
      <name val="Arial"/>
      <family val="2"/>
    </font>
    <font>
      <b/>
      <sz val="12"/>
      <color theme="3" tint="0.249977111117893"/>
      <name val="Arial"/>
      <family val="2"/>
    </font>
    <font>
      <sz val="10"/>
      <color rgb="FFFF0000"/>
      <name val="Arial"/>
      <family val="2"/>
    </font>
    <font>
      <sz val="9"/>
      <color rgb="FFFF0000"/>
      <name val="Arial"/>
      <family val="2"/>
    </font>
    <font>
      <b/>
      <sz val="10"/>
      <name val="Arial"/>
      <family val="2"/>
    </font>
    <font>
      <b/>
      <sz val="11"/>
      <color indexed="8"/>
      <name val="Calibri"/>
      <family val="2"/>
    </font>
    <font>
      <sz val="11"/>
      <color rgb="FF9C6500"/>
      <name val="HelveticaNeue LT 55 Roman"/>
      <family val="2"/>
      <scheme val="minor"/>
    </font>
    <font>
      <sz val="11"/>
      <color theme="1"/>
      <name val="Calibri"/>
      <family val="2"/>
    </font>
    <font>
      <b/>
      <sz val="11"/>
      <color theme="0"/>
      <name val="Calibri"/>
      <family val="2"/>
    </font>
    <font>
      <sz val="11"/>
      <name val="Calibri"/>
      <family val="2"/>
    </font>
    <font>
      <sz val="11"/>
      <color rgb="FF9C6500"/>
      <name val="Calibri"/>
      <family val="2"/>
    </font>
    <font>
      <sz val="11"/>
      <color theme="0"/>
      <name val="Calibri"/>
      <family val="2"/>
    </font>
    <font>
      <sz val="12"/>
      <color theme="1"/>
      <name val="Calibri"/>
      <family val="2"/>
    </font>
    <font>
      <b/>
      <sz val="12"/>
      <color theme="1"/>
      <name val="Calibri"/>
      <family val="2"/>
    </font>
    <font>
      <sz val="9"/>
      <color theme="0"/>
      <name val="HelveticaNeue LT 55 Roman"/>
      <family val="2"/>
      <scheme val="minor"/>
    </font>
    <font>
      <sz val="7"/>
      <color indexed="8"/>
      <name val="Frank Ruhl Libre Regular"/>
    </font>
    <font>
      <sz val="10"/>
      <color theme="1"/>
      <name val="Frank Ruhl Libre Regular"/>
    </font>
    <font>
      <b/>
      <sz val="9"/>
      <color theme="3"/>
      <name val="Frank Ruhl Libre Regular"/>
    </font>
    <font>
      <sz val="8"/>
      <color theme="0"/>
      <name val="Frank Ruhl Libre Regular"/>
    </font>
    <font>
      <sz val="8"/>
      <name val="Frank Ruhl Libre Regular"/>
    </font>
    <font>
      <sz val="7"/>
      <color theme="0"/>
      <name val="Frank Ruhl Libre Regular"/>
    </font>
    <font>
      <sz val="7"/>
      <name val="Frank Ruhl Libre Regular"/>
    </font>
    <font>
      <sz val="8"/>
      <color theme="1"/>
      <name val="Frank Ruhl Libre Regular"/>
    </font>
    <font>
      <sz val="9"/>
      <name val="Frank Ruhl Libre Regular"/>
    </font>
    <font>
      <sz val="10"/>
      <name val="Frank Ruhl Libre Regular"/>
    </font>
    <font>
      <sz val="7"/>
      <color indexed="56"/>
      <name val="Frank Ruhl Libre Regular"/>
    </font>
    <font>
      <sz val="7"/>
      <color theme="1"/>
      <name val="Frank Ruhl Libre Regular"/>
    </font>
    <font>
      <b/>
      <sz val="7"/>
      <color indexed="62"/>
      <name val="Frank Ruhl Libre Regular"/>
    </font>
    <font>
      <b/>
      <sz val="7"/>
      <name val="Frank Ruhl Libre Regular"/>
    </font>
    <font>
      <b/>
      <sz val="7"/>
      <color theme="1"/>
      <name val="Frank Ruhl Libre Regular"/>
    </font>
    <font>
      <sz val="10"/>
      <color theme="0"/>
      <name val="Frank Ruhl Libre Regular"/>
    </font>
    <font>
      <sz val="12"/>
      <name val="Frank Ruhl Libre Regular"/>
    </font>
    <font>
      <b/>
      <u/>
      <sz val="7"/>
      <name val="Frank Ruhl Libre Regular"/>
    </font>
    <font>
      <sz val="9"/>
      <color theme="0"/>
      <name val="Frank Ruhl Libre Regular"/>
    </font>
    <font>
      <b/>
      <u/>
      <sz val="7"/>
      <color indexed="8"/>
      <name val="Frank Ruhl Libre Regular"/>
    </font>
    <font>
      <sz val="12"/>
      <color theme="3"/>
      <name val="Frank Ruhl Libre Regular"/>
    </font>
    <font>
      <sz val="12"/>
      <color theme="0"/>
      <name val="Frank Ruhl Libre Regular"/>
    </font>
    <font>
      <sz val="12"/>
      <color theme="1"/>
      <name val="Frank Ruhl Libre Regular"/>
    </font>
    <font>
      <sz val="7"/>
      <color rgb="FF002855"/>
      <name val="Frank Ruhl Libre Regular"/>
    </font>
    <font>
      <sz val="12"/>
      <color rgb="FF404040"/>
      <name val="Frank Ruhl Libre Regular"/>
    </font>
    <font>
      <sz val="12"/>
      <color indexed="8"/>
      <name val="Frank Ruhl Libre Regular"/>
    </font>
    <font>
      <b/>
      <sz val="9"/>
      <color rgb="FF000000"/>
      <name val="Tahoma"/>
      <family val="2"/>
    </font>
    <font>
      <sz val="9"/>
      <color rgb="FF000000"/>
      <name val="Tahoma"/>
      <family val="2"/>
    </font>
    <font>
      <b/>
      <sz val="7"/>
      <color indexed="8"/>
      <name val="Frank Ruhl Libre Regular"/>
    </font>
    <font>
      <sz val="14"/>
      <color rgb="FF000000"/>
      <name val="Arial Narrow"/>
      <family val="2"/>
    </font>
    <font>
      <b/>
      <sz val="14"/>
      <color rgb="FF000000"/>
      <name val="Arial Narrow"/>
      <family val="2"/>
    </font>
    <font>
      <sz val="7"/>
      <color theme="3"/>
      <name val="Frank Ruhl Libre Regular"/>
    </font>
    <font>
      <b/>
      <sz val="7"/>
      <color theme="3"/>
      <name val="Frank Ruhl Libre Regular"/>
    </font>
    <font>
      <sz val="7"/>
      <color rgb="FF404040"/>
      <name val="Frank Ruhl Libre Regular"/>
    </font>
    <font>
      <sz val="7"/>
      <color rgb="FF000000"/>
      <name val="Frank Ruhl Libre Regular"/>
    </font>
    <font>
      <b/>
      <sz val="7"/>
      <color rgb="FF404040"/>
      <name val="Frank Ruhl Libre Regular"/>
    </font>
    <font>
      <b/>
      <sz val="7"/>
      <color theme="0"/>
      <name val="Frank Ruhl Libre Regular"/>
    </font>
    <font>
      <b/>
      <sz val="7"/>
      <color rgb="FF0070C0"/>
      <name val="Frank Ruhl Libre Regular"/>
    </font>
    <font>
      <sz val="7"/>
      <color rgb="FF031E3F"/>
      <name val="Frank Ruhl Libre Regular"/>
    </font>
    <font>
      <b/>
      <sz val="7"/>
      <color rgb="FF031E3F"/>
      <name val="Frank Ruhl Libre Regular"/>
    </font>
    <font>
      <b/>
      <sz val="7"/>
      <color rgb="FF003268"/>
      <name val="Frank Ruhl Libre Regular"/>
    </font>
    <font>
      <sz val="7"/>
      <color rgb="FF003268"/>
      <name val="Frank Ruhl Libre Regular"/>
    </font>
    <font>
      <b/>
      <sz val="10"/>
      <color theme="1"/>
      <name val="Frank Ruhl Libre Regular"/>
    </font>
    <font>
      <sz val="6.5"/>
      <color indexed="8"/>
      <name val="Frank Ruhl Libre Regular"/>
    </font>
    <font>
      <sz val="6.5"/>
      <color theme="3"/>
      <name val="Frank Ruhl Libre Regular"/>
    </font>
    <font>
      <sz val="6.5"/>
      <color rgb="FFFF0000"/>
      <name val="Frank Ruhl Libre Regular"/>
    </font>
    <font>
      <sz val="6.5"/>
      <color theme="1"/>
      <name val="Frank Ruhl Libre Regular"/>
    </font>
    <font>
      <sz val="6.5"/>
      <color rgb="FF404040"/>
      <name val="Frank Ruhl Libre Regular"/>
    </font>
    <font>
      <sz val="6.5"/>
      <name val="Frank Ruhl Libre Regular"/>
    </font>
    <font>
      <b/>
      <sz val="6.5"/>
      <color indexed="8"/>
      <name val="Frank Ruhl Libre Regular"/>
    </font>
    <font>
      <b/>
      <sz val="6.5"/>
      <name val="Frank Ruhl Libre Regular"/>
    </font>
    <font>
      <b/>
      <sz val="9"/>
      <name val="HelveticaNeue LT 55 Roman"/>
      <family val="2"/>
      <scheme val="minor"/>
    </font>
    <font>
      <sz val="11"/>
      <color rgb="FF000000"/>
      <name val="Times New Roman"/>
      <family val="1"/>
    </font>
    <font>
      <sz val="6.5"/>
      <color rgb="FF000000"/>
      <name val="Frank Ruhl Libre Regular"/>
    </font>
    <font>
      <sz val="10"/>
      <color rgb="FF4D4D4D"/>
      <name val="Frank Ruhl Libre"/>
      <charset val="177"/>
    </font>
    <font>
      <sz val="10"/>
      <color theme="1"/>
      <name val="FrankRuehl"/>
      <family val="2"/>
      <charset val="177"/>
    </font>
    <font>
      <sz val="11"/>
      <color theme="1"/>
      <name val="FrankRuehl"/>
      <family val="2"/>
      <charset val="177"/>
    </font>
    <font>
      <sz val="10"/>
      <color theme="0"/>
      <name val="FrankRuehl"/>
      <family val="2"/>
      <charset val="177"/>
    </font>
    <font>
      <sz val="8"/>
      <color rgb="FF002855"/>
      <name val="Frank Ruhl Libre Regular"/>
    </font>
    <font>
      <sz val="8"/>
      <color rgb="FF404040"/>
      <name val="Frank Ruhl Libre Regular"/>
    </font>
    <font>
      <sz val="9"/>
      <color rgb="FF002855"/>
      <name val="Frank Ruhl Libre Regular"/>
    </font>
    <font>
      <sz val="9"/>
      <color rgb="FF404040"/>
      <name val="Frank Ruhl Libre Regular"/>
    </font>
    <font>
      <sz val="8"/>
      <color theme="2"/>
      <name val="Frank Ruhl Libre Regular"/>
    </font>
    <font>
      <b/>
      <sz val="8"/>
      <color rgb="FF404040"/>
      <name val="Frank Ruhl Libre Regular"/>
    </font>
    <font>
      <sz val="10"/>
      <color theme="3"/>
      <name val="Frank Ruhl Libre Regular"/>
    </font>
    <font>
      <b/>
      <sz val="9"/>
      <color indexed="9"/>
      <name val="Frank Ruhl Libre Regular"/>
    </font>
    <font>
      <sz val="9"/>
      <color indexed="8"/>
      <name val="Frank Ruhl Libre Regular"/>
    </font>
    <font>
      <sz val="9"/>
      <color theme="1"/>
      <name val="Frank Ruhl Libre Regular"/>
    </font>
    <font>
      <b/>
      <sz val="9"/>
      <color rgb="FF404040"/>
      <name val="Frank Ruhl Libre Regular"/>
    </font>
    <font>
      <b/>
      <sz val="9"/>
      <color theme="1"/>
      <name val="Frank Ruhl Libre Regular"/>
    </font>
    <font>
      <b/>
      <sz val="9"/>
      <name val="Frank Ruhl Libre Regular"/>
    </font>
    <font>
      <b/>
      <sz val="9"/>
      <color rgb="FFD0CECE"/>
      <name val="Frank Ruhl Libre Regular"/>
    </font>
    <font>
      <b/>
      <sz val="9"/>
      <color rgb="FF002855"/>
      <name val="Frank Ruhl Libre Regular"/>
    </font>
    <font>
      <b/>
      <u/>
      <sz val="9"/>
      <name val="Frank Ruhl Libre Regular"/>
    </font>
    <font>
      <b/>
      <sz val="8"/>
      <color rgb="FF002855"/>
      <name val="Frank Ruhl Libre Regular"/>
    </font>
    <font>
      <sz val="8"/>
      <color indexed="8"/>
      <name val="Frank Ruhl Libre Regular"/>
    </font>
    <font>
      <b/>
      <sz val="8"/>
      <color indexed="44"/>
      <name val="Frank Ruhl Libre Regular"/>
    </font>
    <font>
      <sz val="10"/>
      <color rgb="FF000000"/>
      <name val="Arial"/>
      <family val="2"/>
    </font>
    <font>
      <b/>
      <sz val="11"/>
      <color theme="1"/>
      <name val="Arial"/>
      <family val="2"/>
    </font>
    <font>
      <sz val="7.5"/>
      <color rgb="FF404040"/>
      <name val="Frank Ruhl Libre Regular"/>
    </font>
  </fonts>
  <fills count="42">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58"/>
        <bgColor indexed="64"/>
      </patternFill>
    </fill>
    <fill>
      <patternFill patternType="solid">
        <fgColor rgb="FFFFFF00"/>
        <bgColor indexed="64"/>
      </patternFill>
    </fill>
    <fill>
      <patternFill patternType="solid">
        <fgColor theme="0"/>
        <bgColor indexed="64"/>
      </patternFill>
    </fill>
    <fill>
      <patternFill patternType="solid">
        <fgColor rgb="FFFFFFCC"/>
      </patternFill>
    </fill>
    <fill>
      <patternFill patternType="solid">
        <fgColor rgb="FF002060"/>
        <bgColor indexed="64"/>
      </patternFill>
    </fill>
    <fill>
      <patternFill patternType="solid">
        <fgColor theme="0" tint="-4.9989318521683403E-2"/>
        <bgColor indexed="64"/>
      </patternFill>
    </fill>
    <fill>
      <patternFill patternType="solid">
        <fgColor theme="3"/>
        <bgColor indexed="64"/>
      </patternFill>
    </fill>
    <fill>
      <patternFill patternType="solid">
        <fgColor theme="3" tint="0.89999084444715716"/>
        <bgColor indexed="64"/>
      </patternFill>
    </fill>
    <fill>
      <patternFill patternType="solid">
        <fgColor theme="0" tint="-0.14999847407452621"/>
        <bgColor indexed="64"/>
      </patternFill>
    </fill>
    <fill>
      <patternFill patternType="solid">
        <fgColor rgb="FFFFFFCC"/>
        <bgColor indexed="64"/>
      </patternFill>
    </fill>
    <fill>
      <patternFill patternType="solid">
        <fgColor rgb="FF003268"/>
        <bgColor indexed="64"/>
      </patternFill>
    </fill>
    <fill>
      <patternFill patternType="solid">
        <fgColor rgb="FFF58025"/>
        <bgColor indexed="64"/>
      </patternFill>
    </fill>
    <fill>
      <patternFill patternType="solid">
        <fgColor theme="0" tint="-0.499984740745262"/>
        <bgColor indexed="64"/>
      </patternFill>
    </fill>
    <fill>
      <patternFill patternType="solid">
        <fgColor indexed="9"/>
        <bgColor indexed="64"/>
      </patternFill>
    </fill>
    <fill>
      <patternFill patternType="solid">
        <fgColor rgb="FF031E3F"/>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rgb="FF0070C0"/>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3" tint="0.749992370372631"/>
        <bgColor indexed="64"/>
      </patternFill>
    </fill>
    <fill>
      <patternFill patternType="solid">
        <fgColor theme="9" tint="-9.9978637043366805E-2"/>
        <bgColor indexed="64"/>
      </patternFill>
    </fill>
    <fill>
      <patternFill patternType="solid">
        <fgColor rgb="FFD9D9D9"/>
        <bgColor indexed="64"/>
      </patternFill>
    </fill>
    <fill>
      <patternFill patternType="solid">
        <fgColor rgb="FFFFEB9C"/>
      </patternFill>
    </fill>
    <fill>
      <patternFill patternType="solid">
        <fgColor theme="1" tint="0.14999847407452621"/>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theme="9" tint="-0.249977111117893"/>
        <bgColor indexed="64"/>
      </patternFill>
    </fill>
    <fill>
      <patternFill patternType="solid">
        <fgColor rgb="FF4682B4"/>
        <bgColor indexed="64"/>
      </patternFill>
    </fill>
    <fill>
      <patternFill patternType="solid">
        <fgColor theme="2" tint="-4.9989318521683403E-2"/>
        <bgColor indexed="64"/>
      </patternFill>
    </fill>
    <fill>
      <patternFill patternType="solid">
        <fgColor rgb="FFD8E2EC"/>
        <bgColor indexed="64"/>
      </patternFill>
    </fill>
    <fill>
      <patternFill patternType="solid">
        <fgColor rgb="FFD0CECE"/>
        <bgColor indexed="64"/>
      </patternFill>
    </fill>
    <fill>
      <patternFill patternType="solid">
        <fgColor rgb="FFE7E6E6"/>
        <bgColor indexed="64"/>
      </patternFill>
    </fill>
    <fill>
      <patternFill patternType="solid">
        <fgColor rgb="FFD5E7FD"/>
        <bgColor indexed="64"/>
      </patternFill>
    </fill>
    <fill>
      <patternFill patternType="solid">
        <fgColor rgb="FFFFDFC0"/>
        <bgColor indexed="64"/>
      </patternFill>
    </fill>
    <fill>
      <patternFill patternType="solid">
        <fgColor rgb="FFCCCCCC"/>
        <bgColor indexed="64"/>
      </patternFill>
    </fill>
    <fill>
      <patternFill patternType="solid">
        <fgColor rgb="FFFFFFFF"/>
        <bgColor indexed="64"/>
      </patternFill>
    </fill>
  </fills>
  <borders count="85">
    <border>
      <left/>
      <right/>
      <top/>
      <bottom/>
      <diagonal/>
    </border>
    <border>
      <left/>
      <right/>
      <top/>
      <bottom style="thin">
        <color auto="1"/>
      </bottom>
      <diagonal/>
    </border>
    <border>
      <left/>
      <right/>
      <top/>
      <bottom style="hair">
        <color indexed="22"/>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top style="double">
        <color auto="1"/>
      </top>
      <bottom/>
      <diagonal/>
    </border>
    <border>
      <left/>
      <right/>
      <top/>
      <bottom style="medium">
        <color auto="1"/>
      </bottom>
      <diagonal/>
    </border>
    <border>
      <left style="thin">
        <color auto="1"/>
      </left>
      <right/>
      <top/>
      <bottom/>
      <diagonal/>
    </border>
    <border>
      <left/>
      <right style="thin">
        <color auto="1"/>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rgb="FFB2B2B2"/>
      </left>
      <right style="thin">
        <color rgb="FFB2B2B2"/>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style="thin">
        <color auto="1"/>
      </left>
      <right style="thin">
        <color auto="1"/>
      </right>
      <top/>
      <bottom/>
      <diagonal/>
    </border>
    <border>
      <left/>
      <right/>
      <top style="hair">
        <color auto="1"/>
      </top>
      <bottom/>
      <diagonal/>
    </border>
    <border>
      <left/>
      <right/>
      <top style="hair">
        <color auto="1"/>
      </top>
      <bottom style="thin">
        <color auto="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rgb="FFB2B2B2"/>
      </left>
      <right style="thin">
        <color rgb="FFB2B2B2"/>
      </right>
      <top/>
      <bottom style="thin">
        <color rgb="FFB2B2B2"/>
      </bottom>
      <diagonal/>
    </border>
    <border>
      <left style="thin">
        <color rgb="FFB2B2B2"/>
      </left>
      <right/>
      <top style="thin">
        <color rgb="FFB2B2B2"/>
      </top>
      <bottom style="thin">
        <color rgb="FFB2B2B2"/>
      </bottom>
      <diagonal/>
    </border>
    <border>
      <left style="thin">
        <color theme="0" tint="-0.34998626667073579"/>
      </left>
      <right/>
      <top/>
      <bottom/>
      <diagonal/>
    </border>
    <border>
      <left/>
      <right/>
      <top/>
      <bottom style="hair">
        <color auto="1"/>
      </bottom>
      <diagonal/>
    </border>
    <border>
      <left/>
      <right/>
      <top/>
      <bottom style="double">
        <color auto="1"/>
      </bottom>
      <diagonal/>
    </border>
    <border>
      <left/>
      <right style="thin">
        <color rgb="FFB2B2B2"/>
      </right>
      <top/>
      <bottom style="thin">
        <color rgb="FFB2B2B2"/>
      </bottom>
      <diagonal/>
    </border>
    <border>
      <left/>
      <right style="thin">
        <color rgb="FFB2B2B2"/>
      </right>
      <top style="thin">
        <color rgb="FFB2B2B2"/>
      </top>
      <bottom style="thin">
        <color rgb="FFB2B2B2"/>
      </bottom>
      <diagonal/>
    </border>
    <border>
      <left style="thin">
        <color auto="1"/>
      </left>
      <right/>
      <top/>
      <bottom style="thin">
        <color rgb="FFB2B2B2"/>
      </bottom>
      <diagonal/>
    </border>
    <border>
      <left style="thin">
        <color auto="1"/>
      </left>
      <right/>
      <top style="thin">
        <color rgb="FFB2B2B2"/>
      </top>
      <bottom style="thin">
        <color rgb="FFB2B2B2"/>
      </bottom>
      <diagonal/>
    </border>
    <border>
      <left style="thin">
        <color rgb="FFB2B2B2"/>
      </left>
      <right style="thin">
        <color rgb="FFB2B2B2"/>
      </right>
      <top style="thin">
        <color rgb="FFB2B2B2"/>
      </top>
      <bottom style="thin">
        <color auto="1"/>
      </bottom>
      <diagonal/>
    </border>
    <border>
      <left style="thin">
        <color auto="1"/>
      </left>
      <right style="thin">
        <color rgb="FFB2B2B2"/>
      </right>
      <top/>
      <bottom style="thin">
        <color rgb="FFB2B2B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rgb="FFB2B2B2"/>
      </right>
      <top style="thin">
        <color auto="1"/>
      </top>
      <bottom style="thin">
        <color rgb="FFB2B2B2"/>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rgb="FFB2B2B2"/>
      </left>
      <right/>
      <top/>
      <bottom/>
      <diagonal/>
    </border>
    <border>
      <left/>
      <right style="thin">
        <color rgb="FFB2B2B2"/>
      </right>
      <top/>
      <bottom/>
      <diagonal/>
    </border>
    <border>
      <left style="thin">
        <color rgb="FFB2B2B2"/>
      </left>
      <right/>
      <top/>
      <bottom style="thin">
        <color rgb="FFB2B2B2"/>
      </bottom>
      <diagonal/>
    </border>
    <border>
      <left/>
      <right/>
      <top/>
      <bottom style="thin">
        <color rgb="FFB2B2B2"/>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right style="thin">
        <color rgb="FFB2B2B2"/>
      </right>
      <top style="thin">
        <color rgb="FFB2B2B2"/>
      </top>
      <bottom style="thin">
        <color auto="1"/>
      </bottom>
      <diagonal/>
    </border>
    <border>
      <left style="thin">
        <color rgb="FFB2B2B2"/>
      </left>
      <right style="thin">
        <color indexed="64"/>
      </right>
      <top style="thin">
        <color auto="1"/>
      </top>
      <bottom style="thin">
        <color rgb="FFB2B2B2"/>
      </bottom>
      <diagonal/>
    </border>
    <border>
      <left style="thin">
        <color rgb="FFB2B2B2"/>
      </left>
      <right style="thin">
        <color indexed="64"/>
      </right>
      <top style="thin">
        <color rgb="FFB2B2B2"/>
      </top>
      <bottom style="thin">
        <color rgb="FFB2B2B2"/>
      </bottom>
      <diagonal/>
    </border>
    <border>
      <left style="thin">
        <color indexed="64"/>
      </left>
      <right/>
      <top style="thin">
        <color rgb="FFB2B2B2"/>
      </top>
      <bottom style="thin">
        <color auto="1"/>
      </bottom>
      <diagonal/>
    </border>
    <border>
      <left/>
      <right style="thin">
        <color indexed="64"/>
      </right>
      <top style="thin">
        <color rgb="FFB2B2B2"/>
      </top>
      <bottom style="thin">
        <color auto="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rgb="FFF2F2F2"/>
      </top>
      <bottom style="thin">
        <color rgb="FFF2F2F2"/>
      </bottom>
      <diagonal/>
    </border>
    <border>
      <left/>
      <right style="thin">
        <color rgb="FFB2B2B2"/>
      </right>
      <top style="thin">
        <color auto="1"/>
      </top>
      <bottom style="thin">
        <color indexed="64"/>
      </bottom>
      <diagonal/>
    </border>
    <border>
      <left style="thin">
        <color rgb="FFB2B2B2"/>
      </left>
      <right/>
      <top style="thin">
        <color auto="1"/>
      </top>
      <bottom style="thin">
        <color indexed="64"/>
      </bottom>
      <diagonal/>
    </border>
    <border>
      <left style="thin">
        <color rgb="FFB2B2B2"/>
      </left>
      <right style="thin">
        <color rgb="FFB2B2B2"/>
      </right>
      <top style="thin">
        <color auto="1"/>
      </top>
      <bottom style="thin">
        <color indexed="64"/>
      </bottom>
      <diagonal/>
    </border>
    <border>
      <left style="thin">
        <color rgb="FFB2B2B2"/>
      </left>
      <right style="thin">
        <color rgb="FFB2B2B2"/>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auto="1"/>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right/>
      <top style="hair">
        <color rgb="FFC0C0C0"/>
      </top>
      <bottom/>
      <diagonal/>
    </border>
    <border>
      <left/>
      <right/>
      <top style="hair">
        <color rgb="FFC0C0C0"/>
      </top>
      <bottom style="thin">
        <color rgb="FF000000"/>
      </bottom>
      <diagonal/>
    </border>
  </borders>
  <cellStyleXfs count="828">
    <xf numFmtId="0" fontId="0" fillId="0" borderId="0"/>
    <xf numFmtId="169" fontId="6" fillId="0" borderId="0" applyFont="0" applyFill="0" applyBorder="0" applyAlignment="0" applyProtection="0"/>
    <xf numFmtId="168" fontId="6" fillId="0" borderId="0" applyFont="0" applyFill="0" applyBorder="0" applyAlignment="0" applyProtection="0"/>
    <xf numFmtId="14" fontId="7" fillId="0" borderId="0"/>
    <xf numFmtId="0" fontId="8" fillId="0" borderId="1" applyNumberFormat="0" applyFill="0" applyAlignment="0" applyProtection="0"/>
    <xf numFmtId="0" fontId="6" fillId="0" borderId="0" applyFont="0" applyFill="0" applyBorder="0" applyAlignment="0" applyProtection="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43" fontId="4" fillId="0" borderId="0" applyFont="0" applyFill="0" applyBorder="0" applyAlignment="0" applyProtection="0"/>
    <xf numFmtId="172" fontId="6" fillId="0" borderId="0"/>
    <xf numFmtId="172" fontId="6" fillId="0" borderId="0"/>
    <xf numFmtId="172" fontId="6" fillId="0" borderId="0"/>
    <xf numFmtId="172" fontId="6" fillId="0" borderId="0"/>
    <xf numFmtId="172" fontId="6" fillId="0" borderId="0"/>
    <xf numFmtId="172" fontId="6" fillId="0" borderId="0"/>
    <xf numFmtId="172" fontId="6" fillId="0" borderId="0"/>
    <xf numFmtId="172" fontId="6" fillId="0" borderId="0"/>
    <xf numFmtId="0" fontId="6"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73" fontId="5" fillId="0" borderId="0">
      <protection locked="0"/>
    </xf>
    <xf numFmtId="44" fontId="4" fillId="0" borderId="0" applyFont="0" applyFill="0" applyBorder="0" applyAlignment="0" applyProtection="0"/>
    <xf numFmtId="0" fontId="6"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173" fontId="5" fillId="0" borderId="0">
      <protection locked="0"/>
    </xf>
    <xf numFmtId="5" fontId="6" fillId="0" borderId="0" applyFill="0" applyBorder="0" applyAlignment="0" applyProtection="0"/>
    <xf numFmtId="174" fontId="6" fillId="0" borderId="0" applyFont="0" applyFill="0" applyBorder="0" applyAlignment="0" applyProtection="0"/>
    <xf numFmtId="173" fontId="5" fillId="0" borderId="0">
      <protection locked="0"/>
    </xf>
    <xf numFmtId="14" fontId="10" fillId="0" borderId="0" applyFill="0" applyBorder="0" applyAlignment="0"/>
    <xf numFmtId="14" fontId="4" fillId="0" borderId="0" applyFill="0" applyBorder="0" applyAlignment="0"/>
    <xf numFmtId="171" fontId="11" fillId="0" borderId="0">
      <protection locked="0"/>
    </xf>
    <xf numFmtId="164" fontId="6" fillId="0" borderId="0" applyFont="0" applyFill="0" applyBorder="0" applyAlignment="0" applyProtection="0"/>
    <xf numFmtId="165" fontId="6" fillId="0" borderId="0" applyFont="0" applyFill="0" applyBorder="0" applyAlignment="0" applyProtection="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175" fontId="6" fillId="0" borderId="0" applyFont="0" applyFill="0" applyBorder="0" applyAlignment="0" applyProtection="0"/>
    <xf numFmtId="0" fontId="6" fillId="0" borderId="2" applyNumberFormat="0" applyFont="0" applyFill="0" applyAlignment="0" applyProtection="0"/>
    <xf numFmtId="173" fontId="5" fillId="0" borderId="0">
      <protection locked="0"/>
    </xf>
    <xf numFmtId="38" fontId="12" fillId="2" borderId="0" applyNumberFormat="0" applyBorder="0" applyAlignment="0" applyProtection="0"/>
    <xf numFmtId="0" fontId="13" fillId="0" borderId="3" applyNumberFormat="0" applyAlignment="0" applyProtection="0">
      <alignment horizontal="left" vertical="center"/>
    </xf>
    <xf numFmtId="0" fontId="13" fillId="0" borderId="4">
      <alignment horizontal="left" vertical="center"/>
    </xf>
    <xf numFmtId="173" fontId="5" fillId="0" borderId="0">
      <protection locked="0"/>
    </xf>
    <xf numFmtId="173" fontId="5" fillId="0" borderId="0">
      <protection locked="0"/>
    </xf>
    <xf numFmtId="176" fontId="11" fillId="0" borderId="0">
      <protection locked="0"/>
    </xf>
    <xf numFmtId="176" fontId="11" fillId="0" borderId="0">
      <protection locked="0"/>
    </xf>
    <xf numFmtId="0" fontId="25" fillId="0" borderId="0" applyNumberFormat="0" applyFill="0" applyBorder="0" applyAlignment="0" applyProtection="0"/>
    <xf numFmtId="10" fontId="12" fillId="3" borderId="5" applyNumberFormat="0" applyBorder="0" applyAlignment="0" applyProtection="0"/>
    <xf numFmtId="38" fontId="20" fillId="0" borderId="0" applyNumberFormat="0" applyFill="0" applyBorder="0" applyAlignment="0">
      <protection locked="0"/>
    </xf>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37" fontId="14" fillId="0" borderId="0"/>
    <xf numFmtId="177" fontId="6" fillId="0" borderId="0"/>
    <xf numFmtId="177" fontId="6" fillId="0" borderId="0"/>
    <xf numFmtId="179"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5"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3" fillId="0" borderId="0"/>
    <xf numFmtId="0" fontId="23" fillId="0" borderId="0"/>
    <xf numFmtId="0" fontId="23"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5" fillId="0" borderId="0"/>
    <xf numFmtId="0" fontId="5"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38" fontId="5" fillId="0" borderId="0"/>
    <xf numFmtId="0" fontId="6" fillId="0" borderId="2" applyNumberFormat="0" applyFont="0" applyFill="0" applyAlignment="0" applyProtection="0"/>
    <xf numFmtId="9" fontId="4" fillId="0" borderId="0" applyFont="0" applyFill="0" applyBorder="0" applyAlignment="0" applyProtection="0"/>
    <xf numFmtId="0" fontId="6" fillId="0" borderId="0" applyFont="0" applyFill="0" applyBorder="0" applyAlignment="0" applyProtection="0"/>
    <xf numFmtId="178"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4" borderId="0"/>
    <xf numFmtId="49" fontId="7" fillId="0" borderId="0"/>
    <xf numFmtId="49" fontId="10" fillId="0" borderId="0" applyFill="0" applyBorder="0" applyAlignment="0"/>
    <xf numFmtId="49" fontId="4" fillId="0" borderId="0" applyFill="0" applyBorder="0" applyAlignment="0"/>
    <xf numFmtId="0" fontId="6" fillId="0" borderId="0" applyFill="0" applyBorder="0" applyAlignment="0"/>
    <xf numFmtId="0" fontId="6" fillId="0" borderId="0" applyFill="0" applyBorder="0" applyAlignment="0"/>
    <xf numFmtId="0" fontId="18" fillId="0" borderId="0" applyFill="0" applyBorder="0" applyProtection="0">
      <alignment horizontal="center"/>
    </xf>
    <xf numFmtId="0" fontId="15" fillId="0" borderId="0">
      <alignment horizontal="center"/>
    </xf>
    <xf numFmtId="0" fontId="16" fillId="0" borderId="0">
      <alignment horizontal="center"/>
    </xf>
    <xf numFmtId="173" fontId="5" fillId="0" borderId="6">
      <protection locked="0"/>
    </xf>
    <xf numFmtId="0" fontId="6" fillId="0" borderId="7" applyNumberFormat="0" applyFont="0" applyFill="0" applyAlignment="0" applyProtection="0"/>
    <xf numFmtId="180" fontId="6" fillId="0" borderId="0" applyFont="0" applyFill="0" applyBorder="0" applyAlignment="0" applyProtection="0"/>
    <xf numFmtId="181" fontId="6" fillId="0" borderId="0" applyFont="0" applyFill="0" applyBorder="0" applyAlignment="0" applyProtection="0"/>
    <xf numFmtId="0" fontId="23" fillId="7" borderId="17" applyNumberFormat="0" applyFont="0" applyAlignment="0" applyProtection="0"/>
    <xf numFmtId="0" fontId="2" fillId="0" borderId="0"/>
    <xf numFmtId="0" fontId="2" fillId="7" borderId="17" applyNumberFormat="0" applyFont="0" applyAlignment="0" applyProtection="0"/>
    <xf numFmtId="9" fontId="2" fillId="0" borderId="0" applyFont="0" applyFill="0" applyBorder="0" applyAlignment="0" applyProtection="0"/>
    <xf numFmtId="0" fontId="137" fillId="39" borderId="17" applyNumberFormat="0" applyBorder="0" applyAlignment="0" applyProtection="0"/>
    <xf numFmtId="0" fontId="95" fillId="28" borderId="0" applyNumberFormat="0" applyBorder="0" applyAlignment="0" applyProtection="0"/>
    <xf numFmtId="0" fontId="96" fillId="0" borderId="0"/>
    <xf numFmtId="0" fontId="99" fillId="28" borderId="0" applyNumberFormat="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44">
    <xf numFmtId="0" fontId="0" fillId="0" borderId="0" xfId="0"/>
    <xf numFmtId="0" fontId="26" fillId="0" borderId="0" xfId="0" applyFont="1"/>
    <xf numFmtId="0" fontId="0" fillId="5" borderId="0" xfId="0" applyFill="1"/>
    <xf numFmtId="10" fontId="0" fillId="5" borderId="0" xfId="0" applyNumberFormat="1" applyFill="1"/>
    <xf numFmtId="9" fontId="0" fillId="5" borderId="0" xfId="0" applyNumberFormat="1" applyFill="1"/>
    <xf numFmtId="1" fontId="0" fillId="5" borderId="0" xfId="0" applyNumberFormat="1" applyFill="1"/>
    <xf numFmtId="5" fontId="0" fillId="5" borderId="0" xfId="0" applyNumberFormat="1" applyFill="1"/>
    <xf numFmtId="7" fontId="0" fillId="5" borderId="0" xfId="0" applyNumberFormat="1" applyFill="1"/>
    <xf numFmtId="0" fontId="26" fillId="5" borderId="0" xfId="0" applyFont="1" applyFill="1"/>
    <xf numFmtId="2" fontId="0" fillId="5" borderId="0" xfId="0" applyNumberFormat="1" applyFill="1"/>
    <xf numFmtId="37" fontId="0" fillId="5" borderId="0" xfId="0" applyNumberFormat="1" applyFill="1"/>
    <xf numFmtId="0" fontId="0" fillId="5" borderId="0" xfId="0" applyFill="1" applyAlignment="1">
      <alignment horizontal="right"/>
    </xf>
    <xf numFmtId="166" fontId="0" fillId="5" borderId="0" xfId="0" applyNumberFormat="1" applyFill="1"/>
    <xf numFmtId="39" fontId="0" fillId="5" borderId="0" xfId="0" applyNumberFormat="1" applyFill="1"/>
    <xf numFmtId="37" fontId="26" fillId="5" borderId="0" xfId="0" applyNumberFormat="1" applyFont="1" applyFill="1"/>
    <xf numFmtId="0" fontId="26" fillId="0" borderId="0" xfId="0" applyFont="1" applyAlignment="1">
      <alignment horizontal="right"/>
    </xf>
    <xf numFmtId="6" fontId="0" fillId="5" borderId="0" xfId="0" applyNumberFormat="1" applyFill="1"/>
    <xf numFmtId="0" fontId="0" fillId="0" borderId="0" xfId="0" quotePrefix="1"/>
    <xf numFmtId="14" fontId="0" fillId="5" borderId="0" xfId="0" applyNumberFormat="1" applyFill="1"/>
    <xf numFmtId="5" fontId="0" fillId="0" borderId="0" xfId="0" applyNumberFormat="1"/>
    <xf numFmtId="0" fontId="28" fillId="0" borderId="0" xfId="0" applyFont="1"/>
    <xf numFmtId="0" fontId="30" fillId="0" borderId="0" xfId="0" applyFont="1"/>
    <xf numFmtId="0" fontId="28" fillId="6" borderId="0" xfId="0" applyFont="1" applyFill="1"/>
    <xf numFmtId="0" fontId="30" fillId="0" borderId="0" xfId="0" applyFont="1" applyAlignment="1">
      <alignment horizontal="center"/>
    </xf>
    <xf numFmtId="0" fontId="30" fillId="0" borderId="10" xfId="0" applyFont="1" applyBorder="1"/>
    <xf numFmtId="0" fontId="31" fillId="0" borderId="0" xfId="0" applyFont="1"/>
    <xf numFmtId="0" fontId="30" fillId="0" borderId="0" xfId="0" applyFont="1" applyAlignment="1">
      <alignment horizontal="right"/>
    </xf>
    <xf numFmtId="0" fontId="36" fillId="0" borderId="0" xfId="0" applyFont="1" applyAlignment="1">
      <alignment horizontal="center"/>
    </xf>
    <xf numFmtId="9" fontId="30" fillId="0" borderId="0" xfId="718" applyFont="1" applyBorder="1" applyAlignment="1" applyProtection="1">
      <alignment horizontal="center"/>
    </xf>
    <xf numFmtId="14" fontId="30" fillId="0" borderId="1" xfId="0" applyNumberFormat="1" applyFont="1" applyBorder="1" applyAlignment="1">
      <alignment horizontal="right"/>
    </xf>
    <xf numFmtId="43" fontId="30" fillId="0" borderId="0" xfId="0" applyNumberFormat="1" applyFont="1"/>
    <xf numFmtId="0" fontId="30" fillId="0" borderId="0" xfId="0" applyFont="1" applyProtection="1">
      <protection hidden="1"/>
    </xf>
    <xf numFmtId="0" fontId="30" fillId="0" borderId="0" xfId="0" applyFont="1" applyAlignment="1" applyProtection="1">
      <alignment horizontal="center"/>
      <protection hidden="1"/>
    </xf>
    <xf numFmtId="0" fontId="30" fillId="0" borderId="0" xfId="0" applyFont="1" applyAlignment="1" applyProtection="1">
      <alignment horizontal="center" vertical="center"/>
      <protection hidden="1"/>
    </xf>
    <xf numFmtId="0" fontId="28" fillId="0" borderId="0" xfId="0" applyFont="1" applyProtection="1">
      <protection hidden="1"/>
    </xf>
    <xf numFmtId="166" fontId="30" fillId="0" borderId="0" xfId="0" applyNumberFormat="1" applyFont="1" applyProtection="1">
      <protection hidden="1"/>
    </xf>
    <xf numFmtId="0" fontId="30" fillId="0" borderId="0" xfId="0" applyFont="1" applyAlignment="1" applyProtection="1">
      <alignment horizontal="right"/>
      <protection hidden="1"/>
    </xf>
    <xf numFmtId="1" fontId="30" fillId="0" borderId="0" xfId="0" applyNumberFormat="1" applyFont="1" applyProtection="1">
      <protection hidden="1"/>
    </xf>
    <xf numFmtId="0" fontId="36" fillId="0" borderId="0" xfId="0" applyFont="1" applyAlignment="1" applyProtection="1">
      <alignment horizontal="center"/>
      <protection hidden="1"/>
    </xf>
    <xf numFmtId="3" fontId="30" fillId="0" borderId="0" xfId="0" applyNumberFormat="1" applyFont="1" applyProtection="1">
      <protection hidden="1"/>
    </xf>
    <xf numFmtId="0" fontId="30" fillId="0" borderId="0" xfId="0" applyFont="1" applyAlignment="1" applyProtection="1">
      <alignment horizontal="left" indent="1"/>
      <protection hidden="1"/>
    </xf>
    <xf numFmtId="9" fontId="30" fillId="0" borderId="0" xfId="718" applyFont="1" applyBorder="1" applyAlignment="1" applyProtection="1">
      <alignment horizontal="center"/>
      <protection hidden="1"/>
    </xf>
    <xf numFmtId="0" fontId="30" fillId="0" borderId="0" xfId="622" applyFont="1" applyAlignment="1" applyProtection="1">
      <alignment horizontal="left" indent="1"/>
      <protection hidden="1"/>
    </xf>
    <xf numFmtId="166" fontId="30" fillId="0" borderId="0" xfId="0" applyNumberFormat="1" applyFont="1"/>
    <xf numFmtId="0" fontId="36" fillId="0" borderId="0" xfId="0" applyFont="1" applyAlignment="1">
      <alignment horizontal="right"/>
    </xf>
    <xf numFmtId="0" fontId="30" fillId="0" borderId="0" xfId="0" applyFont="1" applyAlignment="1">
      <alignment vertical="center"/>
    </xf>
    <xf numFmtId="0" fontId="37" fillId="0" borderId="0" xfId="0" applyFont="1" applyAlignment="1">
      <alignment horizontal="left" vertical="center" indent="1"/>
    </xf>
    <xf numFmtId="166" fontId="30" fillId="0" borderId="0" xfId="0" applyNumberFormat="1" applyFont="1" applyAlignment="1">
      <alignment vertical="center"/>
    </xf>
    <xf numFmtId="0" fontId="28" fillId="0" borderId="0" xfId="0" applyFont="1" applyAlignment="1">
      <alignment vertical="center"/>
    </xf>
    <xf numFmtId="10" fontId="30" fillId="0" borderId="0" xfId="718" applyNumberFormat="1" applyFont="1" applyAlignment="1">
      <alignment vertical="center"/>
    </xf>
    <xf numFmtId="0" fontId="30" fillId="0" borderId="0" xfId="0" applyFont="1" applyAlignment="1">
      <alignment vertical="top"/>
    </xf>
    <xf numFmtId="0" fontId="28" fillId="0" borderId="0" xfId="0" applyFont="1" applyAlignment="1">
      <alignment horizontal="right"/>
    </xf>
    <xf numFmtId="0" fontId="30" fillId="0" borderId="0" xfId="0" applyFont="1" applyAlignment="1">
      <alignment horizontal="right" indent="1"/>
    </xf>
    <xf numFmtId="0" fontId="30" fillId="0" borderId="0" xfId="622" applyFont="1" applyAlignment="1">
      <alignment horizontal="right" indent="1"/>
    </xf>
    <xf numFmtId="0" fontId="31" fillId="0" borderId="0" xfId="0" applyFont="1" applyAlignment="1">
      <alignment horizontal="right" indent="1"/>
    </xf>
    <xf numFmtId="0" fontId="30" fillId="0" borderId="0" xfId="0" applyFont="1" applyAlignment="1">
      <alignment horizontal="left" vertical="center" indent="1"/>
    </xf>
    <xf numFmtId="0" fontId="28" fillId="0" borderId="0" xfId="0" applyFont="1" applyAlignment="1">
      <alignment horizontal="center" vertical="center"/>
    </xf>
    <xf numFmtId="0" fontId="28" fillId="0" borderId="0" xfId="0" applyFont="1" applyAlignment="1">
      <alignment horizontal="left" vertical="center" indent="1"/>
    </xf>
    <xf numFmtId="38" fontId="31" fillId="0" borderId="0" xfId="716" applyFont="1" applyAlignment="1">
      <alignment horizontal="left" vertical="center" indent="1"/>
    </xf>
    <xf numFmtId="0" fontId="35" fillId="0" borderId="0" xfId="0" applyFont="1" applyAlignment="1">
      <alignment horizontal="left" vertical="center" indent="1"/>
    </xf>
    <xf numFmtId="0" fontId="29" fillId="0" borderId="0" xfId="0" applyFont="1" applyAlignment="1">
      <alignment horizontal="center" vertical="center"/>
    </xf>
    <xf numFmtId="0" fontId="31" fillId="0" borderId="0" xfId="0" applyFont="1" applyAlignment="1">
      <alignment vertical="center"/>
    </xf>
    <xf numFmtId="38" fontId="38" fillId="0" borderId="0" xfId="715" applyNumberFormat="1" applyFont="1" applyAlignment="1">
      <alignment horizontal="left" vertical="center"/>
    </xf>
    <xf numFmtId="0" fontId="30" fillId="0" borderId="0" xfId="0" applyFont="1" applyAlignment="1">
      <alignment horizontal="right" vertical="center" indent="1"/>
    </xf>
    <xf numFmtId="0" fontId="30" fillId="0" borderId="0" xfId="0" applyFont="1" applyAlignment="1" applyProtection="1">
      <alignment vertical="center"/>
      <protection hidden="1"/>
    </xf>
    <xf numFmtId="0" fontId="28" fillId="0" borderId="0" xfId="0" applyFont="1" applyAlignment="1" applyProtection="1">
      <alignment vertical="center"/>
      <protection hidden="1"/>
    </xf>
    <xf numFmtId="3" fontId="28" fillId="0" borderId="0" xfId="0" applyNumberFormat="1" applyFont="1" applyAlignment="1">
      <alignment horizontal="left" vertical="center" indent="1"/>
    </xf>
    <xf numFmtId="166" fontId="28" fillId="0" borderId="0" xfId="0" applyNumberFormat="1" applyFont="1" applyAlignment="1">
      <alignment horizontal="left" vertical="center" indent="1"/>
    </xf>
    <xf numFmtId="0" fontId="29" fillId="0" borderId="0" xfId="0" applyFont="1" applyAlignment="1">
      <alignment horizontal="left" vertical="center" wrapText="1" indent="1"/>
    </xf>
    <xf numFmtId="38" fontId="31" fillId="0" borderId="0" xfId="716" applyFont="1" applyAlignment="1">
      <alignment horizontal="right" vertical="center" indent="1"/>
    </xf>
    <xf numFmtId="0" fontId="28" fillId="0" borderId="0" xfId="0" applyFont="1" applyAlignment="1">
      <alignment horizontal="right" vertical="center" indent="1"/>
    </xf>
    <xf numFmtId="0" fontId="28" fillId="0" borderId="23" xfId="0" applyFont="1" applyBorder="1" applyAlignment="1">
      <alignment horizontal="left" vertical="center" indent="1"/>
    </xf>
    <xf numFmtId="5" fontId="28" fillId="0" borderId="23" xfId="0" applyNumberFormat="1" applyFont="1" applyBorder="1" applyAlignment="1">
      <alignment horizontal="right" vertical="center" indent="1"/>
    </xf>
    <xf numFmtId="0" fontId="30" fillId="0" borderId="0" xfId="0" applyFont="1" applyAlignment="1">
      <alignment horizontal="center" vertical="center"/>
    </xf>
    <xf numFmtId="0" fontId="28" fillId="0" borderId="23" xfId="0" applyFont="1" applyBorder="1" applyAlignment="1">
      <alignment horizontal="center" vertical="center"/>
    </xf>
    <xf numFmtId="0" fontId="33" fillId="0" borderId="0" xfId="579" applyFont="1" applyAlignment="1">
      <alignment vertical="center"/>
    </xf>
    <xf numFmtId="9" fontId="30" fillId="0" borderId="0" xfId="718" applyFont="1" applyFill="1" applyBorder="1" applyAlignment="1" applyProtection="1">
      <alignment horizontal="left" vertical="center" indent="1"/>
    </xf>
    <xf numFmtId="0" fontId="32" fillId="0" borderId="0" xfId="193" applyNumberFormat="1" applyFont="1" applyFill="1" applyBorder="1" applyAlignment="1" applyProtection="1">
      <alignment horizontal="right" vertical="center" indent="1"/>
    </xf>
    <xf numFmtId="0" fontId="29" fillId="0" borderId="0" xfId="193" applyNumberFormat="1" applyFont="1" applyFill="1" applyBorder="1" applyAlignment="1" applyProtection="1">
      <alignment horizontal="center" vertical="center"/>
    </xf>
    <xf numFmtId="0" fontId="29" fillId="0" borderId="0" xfId="0" applyFont="1" applyAlignment="1">
      <alignment horizontal="right" vertical="center" indent="1"/>
    </xf>
    <xf numFmtId="169" fontId="28" fillId="0" borderId="0" xfId="0" applyNumberFormat="1" applyFont="1" applyAlignment="1">
      <alignment horizontal="left" vertical="center" indent="1"/>
    </xf>
    <xf numFmtId="0" fontId="39" fillId="0" borderId="0" xfId="0" applyFont="1" applyAlignment="1">
      <alignment horizontal="center" vertical="center"/>
    </xf>
    <xf numFmtId="10" fontId="28" fillId="0" borderId="0" xfId="718" applyNumberFormat="1" applyFont="1" applyFill="1" applyBorder="1" applyAlignment="1" applyProtection="1">
      <alignment horizontal="right" vertical="center" indent="1"/>
    </xf>
    <xf numFmtId="0" fontId="34" fillId="0" borderId="0" xfId="0" applyFont="1" applyAlignment="1">
      <alignment vertical="center"/>
    </xf>
    <xf numFmtId="0" fontId="27" fillId="0" borderId="0" xfId="0" applyFont="1"/>
    <xf numFmtId="9" fontId="29" fillId="0" borderId="0" xfId="718" applyFont="1" applyFill="1" applyBorder="1" applyAlignment="1" applyProtection="1">
      <alignment horizontal="center" vertical="center"/>
    </xf>
    <xf numFmtId="166" fontId="29" fillId="0" borderId="0" xfId="0" applyNumberFormat="1" applyFont="1" applyAlignment="1">
      <alignment horizontal="right" vertical="center" indent="1"/>
    </xf>
    <xf numFmtId="38" fontId="38" fillId="0" borderId="0" xfId="715" applyNumberFormat="1" applyFont="1" applyAlignment="1">
      <alignment horizontal="left" vertical="center" indent="1"/>
    </xf>
    <xf numFmtId="0" fontId="35" fillId="0" borderId="0" xfId="0" applyFont="1" applyProtection="1">
      <protection hidden="1"/>
    </xf>
    <xf numFmtId="14" fontId="30" fillId="0" borderId="0" xfId="0" applyNumberFormat="1" applyFont="1" applyProtection="1">
      <protection hidden="1"/>
    </xf>
    <xf numFmtId="14" fontId="34" fillId="0" borderId="0" xfId="0" applyNumberFormat="1" applyFont="1" applyProtection="1">
      <protection hidden="1"/>
    </xf>
    <xf numFmtId="0" fontId="34" fillId="0" borderId="0" xfId="0" applyFont="1" applyProtection="1">
      <protection hidden="1"/>
    </xf>
    <xf numFmtId="8" fontId="30" fillId="0" borderId="0" xfId="0" applyNumberFormat="1" applyFont="1" applyProtection="1">
      <protection hidden="1"/>
    </xf>
    <xf numFmtId="14" fontId="30" fillId="0" borderId="0" xfId="0" applyNumberFormat="1" applyFont="1" applyAlignment="1" applyProtection="1">
      <alignment horizontal="right"/>
      <protection hidden="1"/>
    </xf>
    <xf numFmtId="43" fontId="30" fillId="0" borderId="0" xfId="0" applyNumberFormat="1" applyFont="1" applyProtection="1">
      <protection hidden="1"/>
    </xf>
    <xf numFmtId="167" fontId="30" fillId="0" borderId="0" xfId="0" applyNumberFormat="1" applyFont="1" applyProtection="1">
      <protection hidden="1"/>
    </xf>
    <xf numFmtId="43" fontId="30" fillId="0" borderId="0" xfId="14" applyFont="1" applyBorder="1" applyProtection="1">
      <protection hidden="1"/>
    </xf>
    <xf numFmtId="166" fontId="31" fillId="6" borderId="0" xfId="0" applyNumberFormat="1" applyFont="1" applyFill="1" applyAlignment="1">
      <alignment horizontal="right" vertical="center" indent="1"/>
    </xf>
    <xf numFmtId="0" fontId="28" fillId="0" borderId="1" xfId="0" applyFont="1" applyBorder="1" applyAlignment="1">
      <alignment horizontal="left" vertical="center" indent="1"/>
    </xf>
    <xf numFmtId="166" fontId="28" fillId="0" borderId="0" xfId="0" applyNumberFormat="1" applyFont="1" applyAlignment="1">
      <alignment horizontal="right" vertical="center"/>
    </xf>
    <xf numFmtId="9" fontId="30" fillId="0" borderId="0" xfId="718" applyFont="1" applyBorder="1" applyAlignment="1" applyProtection="1">
      <alignment horizontal="right" vertical="center" indent="1"/>
    </xf>
    <xf numFmtId="166" fontId="28" fillId="0" borderId="0" xfId="0" applyNumberFormat="1" applyFont="1" applyAlignment="1">
      <alignment vertical="center"/>
    </xf>
    <xf numFmtId="169" fontId="28" fillId="0" borderId="0" xfId="0" applyNumberFormat="1" applyFont="1" applyAlignment="1">
      <alignment horizontal="right" vertical="center"/>
    </xf>
    <xf numFmtId="169" fontId="28" fillId="0" borderId="0" xfId="0" applyNumberFormat="1" applyFont="1" applyAlignment="1">
      <alignment vertical="center"/>
    </xf>
    <xf numFmtId="3" fontId="28" fillId="0" borderId="0" xfId="0" applyNumberFormat="1" applyFont="1" applyAlignment="1">
      <alignment horizontal="right" vertical="center"/>
    </xf>
    <xf numFmtId="3" fontId="28" fillId="0" borderId="0" xfId="0" applyNumberFormat="1" applyFont="1" applyAlignment="1">
      <alignment vertical="center"/>
    </xf>
    <xf numFmtId="0" fontId="28" fillId="0" borderId="1" xfId="0" applyFont="1" applyBorder="1" applyAlignment="1">
      <alignment horizontal="right" vertical="center"/>
    </xf>
    <xf numFmtId="0" fontId="28" fillId="0" borderId="1" xfId="0" applyFont="1" applyBorder="1" applyAlignment="1">
      <alignment vertical="center"/>
    </xf>
    <xf numFmtId="0" fontId="29" fillId="0" borderId="23" xfId="0" applyFont="1" applyBorder="1" applyAlignment="1">
      <alignment horizontal="right" vertical="center" indent="1"/>
    </xf>
    <xf numFmtId="166" fontId="28" fillId="0" borderId="23" xfId="0" applyNumberFormat="1" applyFont="1" applyBorder="1" applyAlignment="1">
      <alignment horizontal="right" vertical="center" indent="1"/>
    </xf>
    <xf numFmtId="2" fontId="28" fillId="0" borderId="0" xfId="718" applyNumberFormat="1" applyFont="1" applyFill="1" applyBorder="1" applyAlignment="1" applyProtection="1">
      <alignment horizontal="right" vertical="center" indent="1"/>
    </xf>
    <xf numFmtId="170" fontId="28" fillId="0" borderId="0" xfId="718" applyNumberFormat="1" applyFont="1" applyFill="1" applyBorder="1" applyAlignment="1" applyProtection="1">
      <alignment horizontal="right" vertical="center" indent="1"/>
    </xf>
    <xf numFmtId="0" fontId="29" fillId="0" borderId="1" xfId="0" applyFont="1" applyBorder="1" applyAlignment="1">
      <alignment horizontal="right" vertical="center" indent="1"/>
    </xf>
    <xf numFmtId="1" fontId="28" fillId="0" borderId="1" xfId="718" applyNumberFormat="1" applyFont="1" applyFill="1" applyBorder="1" applyAlignment="1" applyProtection="1">
      <alignment horizontal="right" vertical="center" indent="1"/>
    </xf>
    <xf numFmtId="3" fontId="28" fillId="0" borderId="23" xfId="0" applyNumberFormat="1" applyFont="1" applyBorder="1" applyAlignment="1">
      <alignment horizontal="right" vertical="center" indent="1"/>
    </xf>
    <xf numFmtId="3" fontId="28" fillId="0" borderId="0" xfId="0" applyNumberFormat="1" applyFont="1" applyAlignment="1">
      <alignment horizontal="right" vertical="center" indent="1"/>
    </xf>
    <xf numFmtId="5" fontId="28" fillId="0" borderId="0" xfId="0" applyNumberFormat="1" applyFont="1" applyAlignment="1">
      <alignment horizontal="right" vertical="center" indent="1"/>
    </xf>
    <xf numFmtId="9" fontId="28" fillId="0" borderId="0" xfId="718" applyFont="1" applyFill="1" applyBorder="1" applyAlignment="1" applyProtection="1">
      <alignment horizontal="center" vertical="center"/>
    </xf>
    <xf numFmtId="166" fontId="28" fillId="0" borderId="0" xfId="0" applyNumberFormat="1" applyFont="1" applyAlignment="1">
      <alignment horizontal="right" vertical="center" indent="1"/>
    </xf>
    <xf numFmtId="37" fontId="28" fillId="0" borderId="0" xfId="0" applyNumberFormat="1" applyFont="1" applyAlignment="1">
      <alignment horizontal="center" vertical="center"/>
    </xf>
    <xf numFmtId="9" fontId="28" fillId="0" borderId="0" xfId="718" applyFont="1" applyBorder="1" applyAlignment="1" applyProtection="1">
      <alignment horizontal="center" vertical="center"/>
    </xf>
    <xf numFmtId="9" fontId="31" fillId="6" borderId="0" xfId="718" applyFont="1" applyFill="1" applyBorder="1" applyAlignment="1" applyProtection="1">
      <alignment horizontal="center" vertical="center"/>
    </xf>
    <xf numFmtId="166" fontId="28" fillId="0" borderId="0" xfId="718" applyNumberFormat="1" applyFont="1" applyFill="1" applyBorder="1" applyAlignment="1" applyProtection="1">
      <alignment horizontal="right" vertical="center" indent="1"/>
    </xf>
    <xf numFmtId="0" fontId="28" fillId="6" borderId="0" xfId="0" applyFont="1" applyFill="1" applyAlignment="1">
      <alignment horizontal="left" vertical="center" indent="1"/>
    </xf>
    <xf numFmtId="9" fontId="28" fillId="6" borderId="0" xfId="718" applyFont="1" applyFill="1" applyBorder="1" applyAlignment="1" applyProtection="1">
      <alignment horizontal="center" vertical="center"/>
    </xf>
    <xf numFmtId="166" fontId="28" fillId="6" borderId="0" xfId="0" applyNumberFormat="1" applyFont="1" applyFill="1" applyAlignment="1">
      <alignment horizontal="right" vertical="center" indent="1"/>
    </xf>
    <xf numFmtId="9" fontId="28" fillId="0" borderId="1" xfId="718" applyFont="1" applyFill="1" applyBorder="1" applyAlignment="1" applyProtection="1">
      <alignment horizontal="center" vertical="center"/>
    </xf>
    <xf numFmtId="166" fontId="28" fillId="0" borderId="1" xfId="0" applyNumberFormat="1" applyFont="1" applyBorder="1" applyAlignment="1">
      <alignment horizontal="right" vertical="center" indent="1"/>
    </xf>
    <xf numFmtId="37" fontId="28" fillId="0" borderId="1" xfId="0" applyNumberFormat="1" applyFont="1" applyBorder="1" applyAlignment="1">
      <alignment horizontal="center" vertical="center"/>
    </xf>
    <xf numFmtId="0" fontId="40" fillId="0" borderId="0" xfId="0" applyFont="1" applyAlignment="1">
      <alignment horizontal="right" vertical="center" indent="1"/>
    </xf>
    <xf numFmtId="0" fontId="41" fillId="0" borderId="0" xfId="0" applyFont="1" applyAlignment="1">
      <alignment horizontal="right" vertical="center" indent="1"/>
    </xf>
    <xf numFmtId="0" fontId="42" fillId="0" borderId="0" xfId="0" applyFont="1" applyAlignment="1">
      <alignment horizontal="right" vertical="center" indent="1"/>
    </xf>
    <xf numFmtId="166" fontId="43" fillId="0" borderId="0" xfId="0" applyNumberFormat="1" applyFont="1" applyAlignment="1">
      <alignment horizontal="right" vertical="center" indent="1"/>
    </xf>
    <xf numFmtId="0" fontId="28" fillId="0" borderId="0" xfId="0" applyFont="1" applyAlignment="1">
      <alignment horizontal="left" vertical="center" indent="2"/>
    </xf>
    <xf numFmtId="0" fontId="28" fillId="0" borderId="1" xfId="0" applyFont="1" applyBorder="1" applyAlignment="1">
      <alignment horizontal="left" vertical="center" indent="2"/>
    </xf>
    <xf numFmtId="0" fontId="44" fillId="11" borderId="23" xfId="0" applyFont="1" applyFill="1" applyBorder="1" applyAlignment="1">
      <alignment horizontal="left" vertical="center" indent="1"/>
    </xf>
    <xf numFmtId="9" fontId="44" fillId="11" borderId="23" xfId="718" applyFont="1" applyFill="1" applyBorder="1" applyAlignment="1" applyProtection="1">
      <alignment horizontal="center" vertical="center"/>
    </xf>
    <xf numFmtId="166" fontId="44" fillId="11" borderId="23" xfId="718" applyNumberFormat="1" applyFont="1" applyFill="1" applyBorder="1" applyAlignment="1" applyProtection="1">
      <alignment horizontal="right" vertical="center" indent="1"/>
    </xf>
    <xf numFmtId="0" fontId="45" fillId="11" borderId="23" xfId="0" applyFont="1" applyFill="1" applyBorder="1" applyAlignment="1">
      <alignment horizontal="left" vertical="center" indent="1"/>
    </xf>
    <xf numFmtId="0" fontId="45" fillId="11" borderId="23" xfId="0" applyFont="1" applyFill="1" applyBorder="1" applyAlignment="1">
      <alignment horizontal="center" vertical="center"/>
    </xf>
    <xf numFmtId="166" fontId="45" fillId="11" borderId="23" xfId="0" applyNumberFormat="1" applyFont="1" applyFill="1" applyBorder="1" applyAlignment="1">
      <alignment horizontal="right" vertical="center" indent="1"/>
    </xf>
    <xf numFmtId="166" fontId="45" fillId="11" borderId="23" xfId="0" applyNumberFormat="1" applyFont="1" applyFill="1" applyBorder="1" applyAlignment="1">
      <alignment horizontal="center" vertical="center"/>
    </xf>
    <xf numFmtId="0" fontId="45" fillId="11" borderId="0" xfId="0" applyFont="1" applyFill="1" applyAlignment="1">
      <alignment horizontal="left" vertical="center" indent="1"/>
    </xf>
    <xf numFmtId="9" fontId="45" fillId="11" borderId="0" xfId="718" applyFont="1" applyFill="1" applyBorder="1" applyAlignment="1" applyProtection="1">
      <alignment horizontal="center" vertical="center"/>
    </xf>
    <xf numFmtId="166" fontId="45" fillId="11" borderId="0" xfId="0" applyNumberFormat="1" applyFont="1" applyFill="1" applyAlignment="1">
      <alignment horizontal="right" vertical="center" indent="1"/>
    </xf>
    <xf numFmtId="0" fontId="48" fillId="11" borderId="23" xfId="0" applyFont="1" applyFill="1" applyBorder="1" applyAlignment="1">
      <alignment horizontal="left" vertical="center" indent="1"/>
    </xf>
    <xf numFmtId="166" fontId="48" fillId="11" borderId="23" xfId="0" applyNumberFormat="1" applyFont="1" applyFill="1" applyBorder="1" applyAlignment="1">
      <alignment horizontal="right" vertical="center"/>
    </xf>
    <xf numFmtId="10" fontId="51" fillId="0" borderId="0" xfId="718" applyNumberFormat="1" applyFont="1" applyFill="1" applyBorder="1" applyAlignment="1" applyProtection="1">
      <alignment horizontal="right" vertical="center" indent="1"/>
    </xf>
    <xf numFmtId="0" fontId="52" fillId="0" borderId="0" xfId="0" applyFont="1" applyAlignment="1">
      <alignment vertical="center"/>
    </xf>
    <xf numFmtId="0" fontId="52" fillId="0" borderId="0" xfId="0" applyFont="1"/>
    <xf numFmtId="0" fontId="53" fillId="0" borderId="0" xfId="0" applyFont="1" applyAlignment="1">
      <alignment horizontal="center" vertical="center"/>
    </xf>
    <xf numFmtId="0" fontId="30" fillId="0" borderId="0" xfId="0" applyFont="1" applyAlignment="1" applyProtection="1">
      <alignment horizontal="right" vertical="center" indent="1"/>
      <protection hidden="1"/>
    </xf>
    <xf numFmtId="0" fontId="30" fillId="0" borderId="0" xfId="0" applyFont="1" applyAlignment="1" applyProtection="1">
      <alignment horizontal="right" indent="1"/>
      <protection hidden="1"/>
    </xf>
    <xf numFmtId="0" fontId="30" fillId="0" borderId="0" xfId="0" applyFont="1" applyAlignment="1" applyProtection="1">
      <alignment horizontal="right" vertical="top" indent="1"/>
      <protection hidden="1"/>
    </xf>
    <xf numFmtId="0" fontId="30" fillId="0" borderId="0" xfId="0" applyFont="1" applyAlignment="1">
      <alignment horizontal="right" vertical="top" indent="1"/>
    </xf>
    <xf numFmtId="0" fontId="55" fillId="12" borderId="0" xfId="0" applyFont="1" applyFill="1" applyAlignment="1">
      <alignment horizontal="left" vertical="center" indent="2"/>
    </xf>
    <xf numFmtId="9" fontId="55" fillId="12" borderId="0" xfId="718" applyFont="1" applyFill="1" applyBorder="1" applyAlignment="1" applyProtection="1">
      <alignment horizontal="center" vertical="center"/>
    </xf>
    <xf numFmtId="166" fontId="55" fillId="12" borderId="0" xfId="718" applyNumberFormat="1" applyFont="1" applyFill="1" applyBorder="1" applyAlignment="1" applyProtection="1">
      <alignment horizontal="right" vertical="center" indent="1"/>
    </xf>
    <xf numFmtId="0" fontId="55" fillId="12" borderId="1" xfId="0" applyFont="1" applyFill="1" applyBorder="1" applyAlignment="1">
      <alignment horizontal="left" vertical="center" indent="2"/>
    </xf>
    <xf numFmtId="9" fontId="55" fillId="12" borderId="1" xfId="718" applyFont="1" applyFill="1" applyBorder="1" applyAlignment="1" applyProtection="1">
      <alignment horizontal="center" vertical="center"/>
    </xf>
    <xf numFmtId="169" fontId="55" fillId="12" borderId="1" xfId="718" applyNumberFormat="1" applyFont="1" applyFill="1" applyBorder="1" applyAlignment="1" applyProtection="1">
      <alignment horizontal="right" vertical="center" indent="1"/>
    </xf>
    <xf numFmtId="0" fontId="47" fillId="0" borderId="0" xfId="0" applyFont="1" applyAlignment="1">
      <alignment horizontal="left" vertical="center" indent="1"/>
    </xf>
    <xf numFmtId="0" fontId="58" fillId="0" borderId="0" xfId="0" applyFont="1"/>
    <xf numFmtId="14" fontId="58" fillId="0" borderId="0" xfId="0" applyNumberFormat="1" applyFont="1" applyAlignment="1">
      <alignment horizontal="left"/>
    </xf>
    <xf numFmtId="14" fontId="59" fillId="0" borderId="0" xfId="0" quotePrefix="1" applyNumberFormat="1" applyFont="1" applyAlignment="1">
      <alignment horizontal="left"/>
    </xf>
    <xf numFmtId="14" fontId="59" fillId="0" borderId="0" xfId="0" applyNumberFormat="1" applyFont="1" applyAlignment="1">
      <alignment horizontal="left"/>
    </xf>
    <xf numFmtId="0" fontId="58" fillId="0" borderId="0" xfId="0" applyFont="1" applyAlignment="1">
      <alignment horizontal="left"/>
    </xf>
    <xf numFmtId="0" fontId="57" fillId="0" borderId="0" xfId="0" applyFont="1" applyProtection="1">
      <protection hidden="1"/>
    </xf>
    <xf numFmtId="0" fontId="58" fillId="0" borderId="0" xfId="0" applyFont="1" applyAlignment="1">
      <alignment horizontal="right"/>
    </xf>
    <xf numFmtId="0" fontId="58" fillId="0" borderId="0" xfId="0" applyFont="1" applyAlignment="1">
      <alignment horizontal="center"/>
    </xf>
    <xf numFmtId="166" fontId="58" fillId="0" borderId="0" xfId="0" applyNumberFormat="1" applyFont="1"/>
    <xf numFmtId="0" fontId="58" fillId="0" borderId="1" xfId="0" applyFont="1" applyBorder="1" applyAlignment="1">
      <alignment horizontal="right"/>
    </xf>
    <xf numFmtId="0" fontId="58" fillId="0" borderId="1" xfId="0" applyFont="1" applyBorder="1" applyAlignment="1">
      <alignment horizontal="center"/>
    </xf>
    <xf numFmtId="166" fontId="58" fillId="0" borderId="0" xfId="0" applyNumberFormat="1" applyFont="1" applyAlignment="1">
      <alignment horizontal="left"/>
    </xf>
    <xf numFmtId="10" fontId="58" fillId="0" borderId="0" xfId="718" applyNumberFormat="1" applyFont="1" applyProtection="1"/>
    <xf numFmtId="169" fontId="58" fillId="0" borderId="0" xfId="0" applyNumberFormat="1" applyFont="1"/>
    <xf numFmtId="0" fontId="59" fillId="0" borderId="0" xfId="0" applyFont="1"/>
    <xf numFmtId="0" fontId="58" fillId="0" borderId="0" xfId="0" applyFont="1" applyAlignment="1">
      <alignment vertical="center" wrapText="1"/>
    </xf>
    <xf numFmtId="10" fontId="58" fillId="0" borderId="0" xfId="718" applyNumberFormat="1" applyFont="1" applyFill="1" applyBorder="1" applyProtection="1"/>
    <xf numFmtId="0" fontId="58" fillId="0" borderId="19" xfId="0" applyFont="1" applyBorder="1" applyAlignment="1">
      <alignment horizontal="left" indent="1"/>
    </xf>
    <xf numFmtId="0" fontId="60" fillId="0" borderId="0" xfId="0" applyFont="1"/>
    <xf numFmtId="0" fontId="58" fillId="0" borderId="0" xfId="0" applyFont="1" applyAlignment="1">
      <alignment wrapText="1"/>
    </xf>
    <xf numFmtId="0" fontId="61" fillId="0" borderId="0" xfId="0" applyFont="1"/>
    <xf numFmtId="0" fontId="63" fillId="6" borderId="0" xfId="0" applyFont="1" applyFill="1" applyAlignment="1">
      <alignment horizontal="right"/>
    </xf>
    <xf numFmtId="0" fontId="63" fillId="6" borderId="9" xfId="0" applyFont="1" applyFill="1" applyBorder="1" applyAlignment="1">
      <alignment horizontal="right"/>
    </xf>
    <xf numFmtId="0" fontId="63" fillId="6" borderId="15" xfId="0" applyFont="1" applyFill="1" applyBorder="1" applyAlignment="1">
      <alignment horizontal="right"/>
    </xf>
    <xf numFmtId="0" fontId="63" fillId="0" borderId="0" xfId="0" applyFont="1" applyAlignment="1">
      <alignment horizontal="right"/>
    </xf>
    <xf numFmtId="0" fontId="63" fillId="6" borderId="22" xfId="0" applyFont="1" applyFill="1" applyBorder="1" applyAlignment="1">
      <alignment horizontal="right"/>
    </xf>
    <xf numFmtId="0" fontId="63" fillId="6" borderId="1" xfId="0" applyFont="1" applyFill="1" applyBorder="1" applyAlignment="1">
      <alignment horizontal="right"/>
    </xf>
    <xf numFmtId="0" fontId="63" fillId="6" borderId="13" xfId="0" applyFont="1" applyFill="1" applyBorder="1" applyAlignment="1">
      <alignment horizontal="right"/>
    </xf>
    <xf numFmtId="0" fontId="63" fillId="6" borderId="16" xfId="0" applyFont="1" applyFill="1" applyBorder="1" applyAlignment="1">
      <alignment horizontal="right"/>
    </xf>
    <xf numFmtId="167" fontId="61" fillId="0" borderId="20" xfId="816" applyNumberFormat="1" applyFont="1" applyFill="1" applyBorder="1" applyProtection="1"/>
    <xf numFmtId="166" fontId="61" fillId="0" borderId="20" xfId="816" applyNumberFormat="1" applyFont="1" applyFill="1" applyBorder="1" applyProtection="1"/>
    <xf numFmtId="7" fontId="60" fillId="0" borderId="0" xfId="96" applyNumberFormat="1" applyFont="1" applyFill="1" applyBorder="1" applyProtection="1"/>
    <xf numFmtId="166" fontId="60" fillId="0" borderId="9" xfId="0" applyNumberFormat="1" applyFont="1" applyBorder="1"/>
    <xf numFmtId="166" fontId="60" fillId="0" borderId="22" xfId="0" applyNumberFormat="1" applyFont="1" applyBorder="1"/>
    <xf numFmtId="166" fontId="61" fillId="0" borderId="0" xfId="0" applyNumberFormat="1" applyFont="1"/>
    <xf numFmtId="167" fontId="61" fillId="0" borderId="17" xfId="816" applyNumberFormat="1" applyFont="1" applyFill="1" applyProtection="1"/>
    <xf numFmtId="166" fontId="61" fillId="0" borderId="17" xfId="816" applyNumberFormat="1" applyFont="1" applyFill="1" applyProtection="1"/>
    <xf numFmtId="167" fontId="60" fillId="0" borderId="0" xfId="14" applyNumberFormat="1" applyFont="1" applyFill="1" applyBorder="1" applyProtection="1"/>
    <xf numFmtId="5" fontId="60" fillId="0" borderId="0" xfId="96" applyNumberFormat="1" applyFont="1" applyFill="1" applyBorder="1" applyProtection="1"/>
    <xf numFmtId="166" fontId="60" fillId="0" borderId="0" xfId="0" applyNumberFormat="1" applyFont="1"/>
    <xf numFmtId="166" fontId="61" fillId="9" borderId="1" xfId="0" applyNumberFormat="1" applyFont="1" applyFill="1" applyBorder="1"/>
    <xf numFmtId="7" fontId="60" fillId="0" borderId="1" xfId="96" applyNumberFormat="1" applyFont="1" applyFill="1" applyBorder="1" applyProtection="1"/>
    <xf numFmtId="166" fontId="60" fillId="0" borderId="13" xfId="0" applyNumberFormat="1" applyFont="1" applyBorder="1"/>
    <xf numFmtId="166" fontId="60" fillId="0" borderId="16" xfId="0" applyNumberFormat="1" applyFont="1" applyBorder="1"/>
    <xf numFmtId="167" fontId="60" fillId="0" borderId="0" xfId="0" applyNumberFormat="1" applyFont="1"/>
    <xf numFmtId="184" fontId="60" fillId="0" borderId="0" xfId="96" applyNumberFormat="1" applyFont="1" applyProtection="1"/>
    <xf numFmtId="183" fontId="60" fillId="0" borderId="0" xfId="0" applyNumberFormat="1" applyFont="1"/>
    <xf numFmtId="182" fontId="60" fillId="0" borderId="0" xfId="0" applyNumberFormat="1" applyFont="1"/>
    <xf numFmtId="182" fontId="60" fillId="0" borderId="0" xfId="14" applyNumberFormat="1" applyFont="1" applyFill="1" applyBorder="1" applyProtection="1"/>
    <xf numFmtId="166" fontId="64" fillId="0" borderId="0" xfId="0" applyNumberFormat="1" applyFont="1"/>
    <xf numFmtId="0" fontId="65" fillId="14" borderId="0" xfId="487" applyFont="1" applyFill="1" applyProtection="1">
      <protection hidden="1"/>
    </xf>
    <xf numFmtId="0" fontId="66" fillId="14" borderId="0" xfId="487" applyFont="1" applyFill="1" applyProtection="1">
      <protection hidden="1"/>
    </xf>
    <xf numFmtId="0" fontId="20" fillId="14" borderId="0" xfId="487" applyFont="1" applyFill="1" applyProtection="1">
      <protection hidden="1"/>
    </xf>
    <xf numFmtId="0" fontId="5" fillId="14" borderId="0" xfId="487" applyFill="1" applyAlignment="1" applyProtection="1">
      <alignment horizontal="left"/>
      <protection hidden="1"/>
    </xf>
    <xf numFmtId="0" fontId="5" fillId="14" borderId="0" xfId="487" applyFill="1" applyProtection="1">
      <protection hidden="1"/>
    </xf>
    <xf numFmtId="0" fontId="20" fillId="15" borderId="0" xfId="487" applyFont="1" applyFill="1" applyProtection="1">
      <protection hidden="1"/>
    </xf>
    <xf numFmtId="0" fontId="5" fillId="15" borderId="0" xfId="487" applyFill="1" applyAlignment="1" applyProtection="1">
      <alignment horizontal="left"/>
      <protection hidden="1"/>
    </xf>
    <xf numFmtId="0" fontId="5" fillId="15" borderId="0" xfId="487" applyFill="1" applyProtection="1">
      <protection hidden="1"/>
    </xf>
    <xf numFmtId="0" fontId="20" fillId="9" borderId="0" xfId="487" applyFont="1" applyFill="1" applyProtection="1">
      <protection hidden="1"/>
    </xf>
    <xf numFmtId="0" fontId="5" fillId="9" borderId="0" xfId="487" applyFill="1" applyAlignment="1" applyProtection="1">
      <alignment horizontal="left"/>
      <protection hidden="1"/>
    </xf>
    <xf numFmtId="0" fontId="5" fillId="9" borderId="0" xfId="487" applyFill="1" applyProtection="1">
      <protection hidden="1"/>
    </xf>
    <xf numFmtId="188" fontId="20" fillId="0" borderId="0" xfId="487" applyNumberFormat="1" applyFont="1" applyAlignment="1" applyProtection="1">
      <alignment horizontal="center"/>
      <protection hidden="1"/>
    </xf>
    <xf numFmtId="0" fontId="56" fillId="14" borderId="0" xfId="487" applyFont="1" applyFill="1" applyProtection="1">
      <protection hidden="1"/>
    </xf>
    <xf numFmtId="166" fontId="30" fillId="12" borderId="0" xfId="0" applyNumberFormat="1" applyFont="1" applyFill="1"/>
    <xf numFmtId="14" fontId="30" fillId="12" borderId="0" xfId="0" applyNumberFormat="1" applyFont="1" applyFill="1"/>
    <xf numFmtId="0" fontId="65" fillId="14" borderId="0" xfId="487" applyFont="1" applyFill="1"/>
    <xf numFmtId="0" fontId="66" fillId="14" borderId="0" xfId="487" applyFont="1" applyFill="1"/>
    <xf numFmtId="0" fontId="20" fillId="14" borderId="0" xfId="487" applyFont="1" applyFill="1"/>
    <xf numFmtId="0" fontId="20" fillId="15" borderId="0" xfId="487" applyFont="1" applyFill="1"/>
    <xf numFmtId="0" fontId="20" fillId="9" borderId="0" xfId="487" applyFont="1" applyFill="1"/>
    <xf numFmtId="0" fontId="68" fillId="0" borderId="0" xfId="487" applyFont="1"/>
    <xf numFmtId="0" fontId="69" fillId="0" borderId="0" xfId="487" applyFont="1" applyAlignment="1">
      <alignment horizontal="left" indent="2"/>
    </xf>
    <xf numFmtId="0" fontId="70" fillId="0" borderId="0" xfId="487" applyFont="1" applyAlignment="1">
      <alignment horizontal="left"/>
    </xf>
    <xf numFmtId="0" fontId="5" fillId="0" borderId="0" xfId="487" applyAlignment="1">
      <alignment horizontal="left"/>
    </xf>
    <xf numFmtId="0" fontId="5" fillId="0" borderId="0" xfId="487"/>
    <xf numFmtId="0" fontId="5" fillId="0" borderId="0" xfId="487" quotePrefix="1"/>
    <xf numFmtId="188" fontId="20" fillId="0" borderId="0" xfId="487" applyNumberFormat="1" applyFont="1" applyAlignment="1">
      <alignment horizontal="left"/>
    </xf>
    <xf numFmtId="0" fontId="69" fillId="0" borderId="0" xfId="487" applyFont="1"/>
    <xf numFmtId="0" fontId="5" fillId="0" borderId="9" xfId="487" applyBorder="1" applyAlignment="1">
      <alignment horizontal="left" indent="1"/>
    </xf>
    <xf numFmtId="0" fontId="5" fillId="0" borderId="13" xfId="487" applyBorder="1" applyAlignment="1">
      <alignment horizontal="left" indent="1"/>
    </xf>
    <xf numFmtId="0" fontId="5" fillId="0" borderId="14" xfId="487" applyBorder="1"/>
    <xf numFmtId="0" fontId="5" fillId="0" borderId="9" xfId="487" applyBorder="1"/>
    <xf numFmtId="38" fontId="5" fillId="0" borderId="0" xfId="487" quotePrefix="1" applyNumberFormat="1" applyAlignment="1">
      <alignment horizontal="left"/>
    </xf>
    <xf numFmtId="0" fontId="5" fillId="0" borderId="13" xfId="487" applyBorder="1"/>
    <xf numFmtId="0" fontId="67" fillId="16" borderId="11" xfId="487" applyFont="1" applyFill="1" applyBorder="1" applyAlignment="1">
      <alignment horizontal="center"/>
    </xf>
    <xf numFmtId="0" fontId="67" fillId="16" borderId="10" xfId="487" applyFont="1" applyFill="1" applyBorder="1" applyAlignment="1">
      <alignment horizontal="center"/>
    </xf>
    <xf numFmtId="0" fontId="67" fillId="16" borderId="14" xfId="487" applyFont="1" applyFill="1" applyBorder="1" applyAlignment="1">
      <alignment horizontal="center"/>
    </xf>
    <xf numFmtId="0" fontId="67" fillId="16" borderId="12" xfId="487" applyFont="1" applyFill="1" applyBorder="1" applyAlignment="1">
      <alignment horizontal="center"/>
    </xf>
    <xf numFmtId="0" fontId="67" fillId="16" borderId="1" xfId="487" applyFont="1" applyFill="1" applyBorder="1" applyAlignment="1">
      <alignment horizontal="center"/>
    </xf>
    <xf numFmtId="0" fontId="67" fillId="16" borderId="13" xfId="487" applyFont="1" applyFill="1" applyBorder="1" applyAlignment="1">
      <alignment horizontal="center"/>
    </xf>
    <xf numFmtId="0" fontId="62" fillId="0" borderId="0" xfId="0" applyFont="1" applyAlignment="1" applyProtection="1">
      <alignment horizontal="left" indent="1"/>
      <protection hidden="1"/>
    </xf>
    <xf numFmtId="166" fontId="77" fillId="11" borderId="23" xfId="0" applyNumberFormat="1" applyFont="1" applyFill="1" applyBorder="1" applyAlignment="1">
      <alignment vertical="center"/>
    </xf>
    <xf numFmtId="0" fontId="57" fillId="0" borderId="0" xfId="0" applyFont="1"/>
    <xf numFmtId="0" fontId="58" fillId="0" borderId="0" xfId="0" applyFont="1" applyAlignment="1">
      <alignment horizontal="right" indent="1"/>
    </xf>
    <xf numFmtId="0" fontId="31" fillId="6" borderId="0" xfId="0" applyFont="1" applyFill="1"/>
    <xf numFmtId="0" fontId="28" fillId="6" borderId="0" xfId="0" applyFont="1" applyFill="1" applyAlignment="1">
      <alignment vertical="center"/>
    </xf>
    <xf numFmtId="0" fontId="27" fillId="18" borderId="28" xfId="0" applyFont="1" applyFill="1" applyBorder="1"/>
    <xf numFmtId="0" fontId="27" fillId="18" borderId="29" xfId="0" applyFont="1" applyFill="1" applyBorder="1"/>
    <xf numFmtId="166" fontId="30" fillId="9" borderId="0" xfId="0" applyNumberFormat="1" applyFont="1" applyFill="1"/>
    <xf numFmtId="166" fontId="30" fillId="9" borderId="0" xfId="0" applyNumberFormat="1" applyFont="1" applyFill="1" applyAlignment="1">
      <alignment horizontal="right"/>
    </xf>
    <xf numFmtId="14" fontId="30" fillId="9" borderId="0" xfId="0" applyNumberFormat="1" applyFont="1" applyFill="1"/>
    <xf numFmtId="0" fontId="64" fillId="0" borderId="0" xfId="0" applyFont="1" applyAlignment="1">
      <alignment vertical="center"/>
    </xf>
    <xf numFmtId="0" fontId="64" fillId="0" borderId="0" xfId="0" applyFont="1" applyAlignment="1">
      <alignment horizontal="center" vertical="center"/>
    </xf>
    <xf numFmtId="0" fontId="64" fillId="0" borderId="0" xfId="0" applyFont="1" applyAlignment="1">
      <alignment horizontal="right" vertical="center"/>
    </xf>
    <xf numFmtId="0" fontId="30" fillId="0" borderId="1" xfId="0" applyFont="1" applyBorder="1" applyAlignment="1">
      <alignment horizontal="left" vertical="center" indent="1"/>
    </xf>
    <xf numFmtId="166" fontId="0" fillId="0" borderId="0" xfId="0" applyNumberFormat="1"/>
    <xf numFmtId="10" fontId="0" fillId="0" borderId="0" xfId="0" applyNumberFormat="1"/>
    <xf numFmtId="0" fontId="57" fillId="0" borderId="0" xfId="0" applyFont="1" applyAlignment="1" applyProtection="1">
      <alignment horizontal="right" indent="1"/>
      <protection hidden="1"/>
    </xf>
    <xf numFmtId="14" fontId="58" fillId="39" borderId="17" xfId="820" applyNumberFormat="1" applyFont="1" applyAlignment="1" applyProtection="1">
      <alignment horizontal="left"/>
      <protection locked="0"/>
    </xf>
    <xf numFmtId="14" fontId="0" fillId="0" borderId="0" xfId="0" applyNumberFormat="1"/>
    <xf numFmtId="0" fontId="5" fillId="14" borderId="0" xfId="487" applyFill="1" applyAlignment="1">
      <alignment horizontal="left"/>
    </xf>
    <xf numFmtId="0" fontId="5" fillId="14" borderId="0" xfId="487" applyFill="1"/>
    <xf numFmtId="0" fontId="5" fillId="15" borderId="0" xfId="487" applyFill="1" applyAlignment="1">
      <alignment horizontal="left"/>
    </xf>
    <xf numFmtId="0" fontId="5" fillId="15" borderId="0" xfId="487" applyFill="1"/>
    <xf numFmtId="0" fontId="5" fillId="9" borderId="0" xfId="487" applyFill="1" applyAlignment="1">
      <alignment horizontal="left"/>
    </xf>
    <xf numFmtId="0" fontId="5" fillId="9" borderId="0" xfId="487" applyFill="1"/>
    <xf numFmtId="0" fontId="5" fillId="0" borderId="0" xfId="487" applyAlignment="1" applyProtection="1">
      <alignment horizontal="center"/>
      <protection hidden="1"/>
    </xf>
    <xf numFmtId="192" fontId="5" fillId="0" borderId="0" xfId="487" applyNumberFormat="1" applyAlignment="1" applyProtection="1">
      <alignment horizontal="center"/>
      <protection hidden="1"/>
    </xf>
    <xf numFmtId="192" fontId="5" fillId="0" borderId="0" xfId="487" applyNumberFormat="1"/>
    <xf numFmtId="188" fontId="5" fillId="0" borderId="0" xfId="487" applyNumberFormat="1"/>
    <xf numFmtId="0" fontId="5" fillId="6" borderId="8" xfId="487" applyFill="1" applyBorder="1" applyAlignment="1">
      <alignment horizontal="center"/>
    </xf>
    <xf numFmtId="0" fontId="5" fillId="6" borderId="0" xfId="487" applyFill="1" applyAlignment="1">
      <alignment horizontal="center"/>
    </xf>
    <xf numFmtId="189" fontId="5" fillId="6" borderId="0" xfId="487" applyNumberFormat="1" applyFill="1" applyAlignment="1">
      <alignment horizontal="right"/>
    </xf>
    <xf numFmtId="5" fontId="5" fillId="6" borderId="0" xfId="487" applyNumberFormat="1" applyFill="1" applyAlignment="1">
      <alignment horizontal="right"/>
    </xf>
    <xf numFmtId="5" fontId="5" fillId="6" borderId="14" xfId="487" applyNumberFormat="1" applyFill="1" applyBorder="1" applyAlignment="1">
      <alignment horizontal="right"/>
    </xf>
    <xf numFmtId="0" fontId="5" fillId="9" borderId="8" xfId="487" applyFill="1" applyBorder="1" applyAlignment="1">
      <alignment horizontal="center"/>
    </xf>
    <xf numFmtId="0" fontId="5" fillId="9" borderId="0" xfId="487" applyFill="1" applyAlignment="1">
      <alignment horizontal="center"/>
    </xf>
    <xf numFmtId="189" fontId="5" fillId="9" borderId="0" xfId="487" applyNumberFormat="1" applyFill="1" applyAlignment="1">
      <alignment horizontal="right"/>
    </xf>
    <xf numFmtId="5" fontId="5" fillId="9" borderId="0" xfId="487" applyNumberFormat="1" applyFill="1" applyAlignment="1">
      <alignment horizontal="right"/>
    </xf>
    <xf numFmtId="5" fontId="5" fillId="9" borderId="9" xfId="487" applyNumberFormat="1" applyFill="1" applyBorder="1" applyAlignment="1">
      <alignment horizontal="right"/>
    </xf>
    <xf numFmtId="0" fontId="5" fillId="17" borderId="8" xfId="487" applyFill="1" applyBorder="1" applyAlignment="1">
      <alignment horizontal="center"/>
    </xf>
    <xf numFmtId="0" fontId="5" fillId="17" borderId="0" xfId="487" applyFill="1" applyAlignment="1">
      <alignment horizontal="center"/>
    </xf>
    <xf numFmtId="189" fontId="5" fillId="17" borderId="0" xfId="487" applyNumberFormat="1" applyFill="1" applyAlignment="1">
      <alignment horizontal="right"/>
    </xf>
    <xf numFmtId="5" fontId="5" fillId="17" borderId="0" xfId="487" applyNumberFormat="1" applyFill="1" applyAlignment="1">
      <alignment horizontal="right"/>
    </xf>
    <xf numFmtId="5" fontId="5" fillId="17" borderId="9" xfId="487" applyNumberFormat="1" applyFill="1" applyBorder="1" applyAlignment="1">
      <alignment horizontal="right"/>
    </xf>
    <xf numFmtId="5" fontId="5" fillId="0" borderId="0" xfId="487" applyNumberFormat="1"/>
    <xf numFmtId="5" fontId="5" fillId="0" borderId="9" xfId="487" applyNumberFormat="1" applyBorder="1" applyAlignment="1">
      <alignment horizontal="right"/>
    </xf>
    <xf numFmtId="0" fontId="5" fillId="9" borderId="12" xfId="487" applyFill="1" applyBorder="1" applyAlignment="1">
      <alignment horizontal="center"/>
    </xf>
    <xf numFmtId="0" fontId="5" fillId="9" borderId="1" xfId="487" applyFill="1" applyBorder="1" applyAlignment="1">
      <alignment horizontal="center"/>
    </xf>
    <xf numFmtId="189" fontId="5" fillId="9" borderId="1" xfId="487" applyNumberFormat="1" applyFill="1" applyBorder="1" applyAlignment="1">
      <alignment horizontal="right"/>
    </xf>
    <xf numFmtId="5" fontId="5" fillId="9" borderId="1" xfId="487" applyNumberFormat="1" applyFill="1" applyBorder="1" applyAlignment="1">
      <alignment horizontal="right"/>
    </xf>
    <xf numFmtId="5" fontId="5" fillId="9" borderId="13" xfId="487" applyNumberFormat="1" applyFill="1" applyBorder="1" applyAlignment="1">
      <alignment horizontal="right"/>
    </xf>
    <xf numFmtId="0" fontId="5" fillId="0" borderId="0" xfId="487" applyAlignment="1">
      <alignment horizontal="center"/>
    </xf>
    <xf numFmtId="189" fontId="5" fillId="0" borderId="0" xfId="487" applyNumberFormat="1" applyAlignment="1">
      <alignment horizontal="right"/>
    </xf>
    <xf numFmtId="5" fontId="5" fillId="0" borderId="0" xfId="487" applyNumberFormat="1" applyAlignment="1">
      <alignment horizontal="right"/>
    </xf>
    <xf numFmtId="14" fontId="5" fillId="0" borderId="0" xfId="487" applyNumberFormat="1"/>
    <xf numFmtId="189" fontId="5" fillId="0" borderId="0" xfId="487" applyNumberFormat="1"/>
    <xf numFmtId="0" fontId="5" fillId="0" borderId="0" xfId="487" applyAlignment="1">
      <alignment horizontal="left" indent="2"/>
    </xf>
    <xf numFmtId="8" fontId="0" fillId="0" borderId="0" xfId="0" applyNumberFormat="1"/>
    <xf numFmtId="8" fontId="5" fillId="0" borderId="0" xfId="487" applyNumberFormat="1"/>
    <xf numFmtId="0" fontId="26" fillId="0" borderId="0" xfId="0" applyFont="1" applyAlignment="1">
      <alignment horizontal="left"/>
    </xf>
    <xf numFmtId="168" fontId="0" fillId="5" borderId="0" xfId="718" applyNumberFormat="1" applyFont="1" applyFill="1"/>
    <xf numFmtId="0" fontId="0" fillId="7" borderId="30" xfId="816" applyFont="1" applyBorder="1" applyProtection="1">
      <protection locked="0"/>
    </xf>
    <xf numFmtId="166" fontId="0" fillId="19" borderId="0" xfId="0" applyNumberFormat="1" applyFill="1"/>
    <xf numFmtId="6" fontId="0" fillId="0" borderId="0" xfId="0" applyNumberFormat="1"/>
    <xf numFmtId="0" fontId="28" fillId="0" borderId="0" xfId="0" applyFont="1" applyAlignment="1">
      <alignment horizontal="right" vertical="center"/>
    </xf>
    <xf numFmtId="166" fontId="0" fillId="20" borderId="0" xfId="0" applyNumberFormat="1" applyFill="1"/>
    <xf numFmtId="0" fontId="0" fillId="20" borderId="0" xfId="0" applyFill="1"/>
    <xf numFmtId="0" fontId="5" fillId="0" borderId="32" xfId="487" applyBorder="1"/>
    <xf numFmtId="0" fontId="61" fillId="0" borderId="18" xfId="0" applyFont="1" applyBorder="1" applyAlignment="1">
      <alignment horizontal="left" indent="1"/>
    </xf>
    <xf numFmtId="8" fontId="58" fillId="0" borderId="0" xfId="0" applyNumberFormat="1" applyFont="1"/>
    <xf numFmtId="7" fontId="5" fillId="0" borderId="0" xfId="487" applyNumberFormat="1"/>
    <xf numFmtId="0" fontId="54" fillId="0" borderId="0" xfId="0" applyFont="1" applyAlignment="1">
      <alignment horizontal="left" vertical="center" indent="1"/>
    </xf>
    <xf numFmtId="169" fontId="54" fillId="0" borderId="0" xfId="96" applyNumberFormat="1" applyFont="1" applyFill="1" applyBorder="1" applyAlignment="1" applyProtection="1">
      <alignment horizontal="right" vertical="center" indent="1"/>
    </xf>
    <xf numFmtId="3" fontId="54" fillId="0" borderId="0" xfId="14" applyNumberFormat="1" applyFont="1" applyFill="1" applyBorder="1" applyAlignment="1" applyProtection="1">
      <alignment horizontal="right" vertical="center" indent="1"/>
    </xf>
    <xf numFmtId="166" fontId="54" fillId="0" borderId="0" xfId="96" applyNumberFormat="1" applyFont="1" applyFill="1" applyBorder="1" applyAlignment="1" applyProtection="1">
      <alignment horizontal="right" vertical="center" indent="1"/>
    </xf>
    <xf numFmtId="5" fontId="54" fillId="0" borderId="0" xfId="96" applyNumberFormat="1" applyFont="1" applyFill="1" applyBorder="1" applyAlignment="1" applyProtection="1">
      <alignment horizontal="right" vertical="center" indent="1"/>
    </xf>
    <xf numFmtId="0" fontId="69" fillId="0" borderId="14" xfId="487" applyFont="1" applyBorder="1" applyAlignment="1">
      <alignment horizontal="left"/>
    </xf>
    <xf numFmtId="0" fontId="69" fillId="0" borderId="9" xfId="487" applyFont="1" applyBorder="1" applyAlignment="1">
      <alignment horizontal="left"/>
    </xf>
    <xf numFmtId="0" fontId="62" fillId="0" borderId="0" xfId="0" applyFont="1"/>
    <xf numFmtId="8" fontId="20" fillId="0" borderId="0" xfId="96" applyNumberFormat="1" applyFont="1" applyFill="1" applyBorder="1" applyAlignment="1" applyProtection="1">
      <alignment horizontal="left"/>
    </xf>
    <xf numFmtId="9" fontId="67" fillId="22" borderId="0" xfId="745" applyFont="1" applyFill="1" applyProtection="1"/>
    <xf numFmtId="166" fontId="67" fillId="22" borderId="0" xfId="487" applyNumberFormat="1" applyFont="1" applyFill="1"/>
    <xf numFmtId="166" fontId="5" fillId="0" borderId="0" xfId="487" applyNumberFormat="1" applyProtection="1">
      <protection hidden="1"/>
    </xf>
    <xf numFmtId="9" fontId="5" fillId="0" borderId="0" xfId="718" applyFont="1" applyFill="1" applyBorder="1" applyProtection="1">
      <protection hidden="1"/>
    </xf>
    <xf numFmtId="9" fontId="76" fillId="0" borderId="0" xfId="745" applyFont="1" applyFill="1" applyBorder="1" applyAlignment="1" applyProtection="1">
      <alignment horizontal="left"/>
      <protection hidden="1"/>
    </xf>
    <xf numFmtId="0" fontId="86" fillId="0" borderId="0" xfId="0" applyFont="1" applyAlignment="1">
      <alignment horizontal="center"/>
    </xf>
    <xf numFmtId="3" fontId="0" fillId="5" borderId="0" xfId="0" applyNumberFormat="1" applyFill="1"/>
    <xf numFmtId="0" fontId="85" fillId="24" borderId="0" xfId="0" applyFont="1" applyFill="1"/>
    <xf numFmtId="0" fontId="66" fillId="14" borderId="0" xfId="487" applyFont="1" applyFill="1" applyAlignment="1" applyProtection="1">
      <alignment horizontal="center"/>
      <protection hidden="1"/>
    </xf>
    <xf numFmtId="0" fontId="20" fillId="15" borderId="0" xfId="487" applyFont="1" applyFill="1" applyAlignment="1" applyProtection="1">
      <alignment horizontal="center"/>
      <protection hidden="1"/>
    </xf>
    <xf numFmtId="0" fontId="56" fillId="14" borderId="0" xfId="487" applyFont="1" applyFill="1" applyAlignment="1" applyProtection="1">
      <alignment horizontal="center"/>
      <protection hidden="1"/>
    </xf>
    <xf numFmtId="0" fontId="0" fillId="0" borderId="0" xfId="816" applyFont="1" applyFill="1" applyBorder="1" applyAlignment="1" applyProtection="1">
      <alignment horizontal="center"/>
      <protection locked="0"/>
    </xf>
    <xf numFmtId="0" fontId="0" fillId="0" borderId="0" xfId="0" applyProtection="1">
      <protection hidden="1"/>
    </xf>
    <xf numFmtId="0" fontId="80" fillId="0" borderId="0" xfId="0" applyFont="1" applyProtection="1">
      <protection hidden="1"/>
    </xf>
    <xf numFmtId="0" fontId="0" fillId="0" borderId="0" xfId="0" applyAlignment="1" applyProtection="1">
      <alignment horizontal="center"/>
      <protection hidden="1"/>
    </xf>
    <xf numFmtId="0" fontId="79" fillId="9" borderId="10" xfId="0" applyFont="1" applyFill="1" applyBorder="1" applyAlignment="1" applyProtection="1">
      <alignment horizontal="center"/>
      <protection hidden="1"/>
    </xf>
    <xf numFmtId="0" fontId="79" fillId="9" borderId="10" xfId="0" applyFont="1" applyFill="1" applyBorder="1" applyProtection="1">
      <protection hidden="1"/>
    </xf>
    <xf numFmtId="0" fontId="79" fillId="9" borderId="0" xfId="0" applyFont="1" applyFill="1" applyProtection="1">
      <protection hidden="1"/>
    </xf>
    <xf numFmtId="0" fontId="79" fillId="9" borderId="0" xfId="0" applyFont="1" applyFill="1" applyAlignment="1" applyProtection="1">
      <alignment horizontal="center"/>
      <protection hidden="1"/>
    </xf>
    <xf numFmtId="0" fontId="79" fillId="9" borderId="0" xfId="0" applyFont="1" applyFill="1" applyAlignment="1" applyProtection="1">
      <alignment horizontal="center" wrapText="1"/>
      <protection locked="0" hidden="1"/>
    </xf>
    <xf numFmtId="0" fontId="79" fillId="9" borderId="0" xfId="0" applyFont="1" applyFill="1" applyAlignment="1" applyProtection="1">
      <alignment horizontal="center"/>
      <protection locked="0" hidden="1"/>
    </xf>
    <xf numFmtId="166" fontId="66" fillId="14" borderId="0" xfId="487" applyNumberFormat="1" applyFont="1" applyFill="1" applyAlignment="1" applyProtection="1">
      <alignment horizontal="center"/>
      <protection hidden="1"/>
    </xf>
    <xf numFmtId="166" fontId="20" fillId="14" borderId="0" xfId="487" applyNumberFormat="1" applyFont="1" applyFill="1" applyAlignment="1" applyProtection="1">
      <alignment horizontal="center"/>
      <protection hidden="1"/>
    </xf>
    <xf numFmtId="166" fontId="20" fillId="15" borderId="0" xfId="487" applyNumberFormat="1" applyFont="1" applyFill="1" applyAlignment="1" applyProtection="1">
      <alignment horizontal="center"/>
      <protection hidden="1"/>
    </xf>
    <xf numFmtId="166" fontId="0" fillId="0" borderId="0" xfId="0" applyNumberFormat="1" applyAlignment="1" applyProtection="1">
      <alignment horizontal="center"/>
      <protection hidden="1"/>
    </xf>
    <xf numFmtId="166" fontId="79" fillId="9" borderId="10" xfId="0" applyNumberFormat="1" applyFont="1" applyFill="1" applyBorder="1" applyAlignment="1" applyProtection="1">
      <alignment horizontal="center"/>
      <protection hidden="1"/>
    </xf>
    <xf numFmtId="166" fontId="79" fillId="9" borderId="0" xfId="0" applyNumberFormat="1" applyFont="1" applyFill="1" applyAlignment="1" applyProtection="1">
      <alignment horizontal="center"/>
      <protection locked="0" hidden="1"/>
    </xf>
    <xf numFmtId="166" fontId="79" fillId="9" borderId="0" xfId="0" applyNumberFormat="1" applyFont="1" applyFill="1" applyAlignment="1" applyProtection="1">
      <alignment horizontal="center"/>
      <protection hidden="1"/>
    </xf>
    <xf numFmtId="167" fontId="66" fillId="14" borderId="0" xfId="14" applyNumberFormat="1" applyFont="1" applyFill="1" applyBorder="1" applyAlignment="1" applyProtection="1">
      <alignment horizontal="center"/>
      <protection hidden="1"/>
    </xf>
    <xf numFmtId="167" fontId="20" fillId="15" borderId="0" xfId="14" applyNumberFormat="1" applyFont="1" applyFill="1" applyBorder="1" applyAlignment="1" applyProtection="1">
      <alignment horizontal="center"/>
      <protection hidden="1"/>
    </xf>
    <xf numFmtId="167" fontId="0" fillId="0" borderId="0" xfId="14" applyNumberFormat="1" applyFont="1" applyAlignment="1" applyProtection="1">
      <alignment horizontal="center"/>
      <protection hidden="1"/>
    </xf>
    <xf numFmtId="167" fontId="79" fillId="9" borderId="10" xfId="14" applyNumberFormat="1" applyFont="1" applyFill="1" applyBorder="1" applyAlignment="1" applyProtection="1">
      <alignment horizontal="center"/>
      <protection hidden="1"/>
    </xf>
    <xf numFmtId="167" fontId="79" fillId="9" borderId="0" xfId="14" applyNumberFormat="1" applyFont="1" applyFill="1" applyBorder="1" applyAlignment="1" applyProtection="1">
      <alignment horizontal="center"/>
      <protection locked="0" hidden="1"/>
    </xf>
    <xf numFmtId="0" fontId="46" fillId="0" borderId="0" xfId="0" applyFont="1"/>
    <xf numFmtId="0" fontId="87" fillId="0" borderId="0" xfId="0" applyFont="1" applyAlignment="1">
      <alignment horizontal="left"/>
    </xf>
    <xf numFmtId="0" fontId="61" fillId="0" borderId="0" xfId="0" applyFont="1" applyAlignment="1">
      <alignment horizontal="center"/>
    </xf>
    <xf numFmtId="167" fontId="0" fillId="0" borderId="0" xfId="14" applyNumberFormat="1" applyFont="1" applyFill="1" applyAlignment="1" applyProtection="1">
      <alignment horizontal="center"/>
      <protection locked="0"/>
    </xf>
    <xf numFmtId="167" fontId="0" fillId="0" borderId="0" xfId="14" applyNumberFormat="1" applyFont="1" applyAlignment="1" applyProtection="1">
      <alignment horizontal="center"/>
      <protection locked="0"/>
    </xf>
    <xf numFmtId="0" fontId="25" fillId="0" borderId="0" xfId="193"/>
    <xf numFmtId="0" fontId="0" fillId="9" borderId="0" xfId="0" applyFill="1"/>
    <xf numFmtId="0" fontId="89" fillId="9" borderId="0" xfId="0" applyFont="1" applyFill="1"/>
    <xf numFmtId="0" fontId="0" fillId="9" borderId="34" xfId="0" applyFill="1" applyBorder="1"/>
    <xf numFmtId="0" fontId="88" fillId="9" borderId="0" xfId="0" applyFont="1" applyFill="1"/>
    <xf numFmtId="0" fontId="54" fillId="0" borderId="0" xfId="0" applyFont="1" applyAlignment="1">
      <alignment horizontal="right" indent="1"/>
    </xf>
    <xf numFmtId="0" fontId="53" fillId="0" borderId="0" xfId="0" applyFont="1" applyAlignment="1">
      <alignment horizontal="right" indent="1"/>
    </xf>
    <xf numFmtId="0" fontId="63" fillId="6" borderId="0" xfId="0" applyFont="1" applyFill="1" applyAlignment="1">
      <alignment horizontal="left"/>
    </xf>
    <xf numFmtId="0" fontId="80" fillId="0" borderId="0" xfId="0" applyFont="1" applyAlignment="1" applyProtection="1">
      <alignment vertical="top" wrapText="1"/>
      <protection hidden="1"/>
    </xf>
    <xf numFmtId="0" fontId="0" fillId="0" borderId="10" xfId="816" applyFont="1" applyFill="1" applyBorder="1" applyAlignment="1" applyProtection="1">
      <alignment horizontal="center"/>
      <protection locked="0"/>
    </xf>
    <xf numFmtId="0" fontId="0" fillId="0" borderId="10" xfId="0" applyBorder="1" applyAlignment="1" applyProtection="1">
      <alignment horizontal="center"/>
      <protection hidden="1"/>
    </xf>
    <xf numFmtId="0" fontId="0" fillId="0" borderId="10" xfId="0" applyBorder="1" applyProtection="1">
      <protection hidden="1"/>
    </xf>
    <xf numFmtId="167" fontId="6" fillId="0" borderId="10" xfId="816" applyNumberFormat="1" applyFont="1" applyFill="1" applyBorder="1" applyProtection="1">
      <protection hidden="1"/>
    </xf>
    <xf numFmtId="166" fontId="6" fillId="0" borderId="10" xfId="816" applyNumberFormat="1" applyFont="1" applyFill="1" applyBorder="1" applyAlignment="1" applyProtection="1">
      <alignment horizontal="center"/>
      <protection hidden="1"/>
    </xf>
    <xf numFmtId="167" fontId="6" fillId="0" borderId="0" xfId="816" applyNumberFormat="1" applyFont="1" applyFill="1" applyBorder="1" applyProtection="1">
      <protection hidden="1"/>
    </xf>
    <xf numFmtId="166" fontId="6" fillId="0" borderId="0" xfId="816" applyNumberFormat="1" applyFont="1" applyFill="1" applyBorder="1" applyAlignment="1" applyProtection="1">
      <alignment horizontal="center"/>
      <protection hidden="1"/>
    </xf>
    <xf numFmtId="0" fontId="23" fillId="7" borderId="17" xfId="816" applyFont="1" applyProtection="1">
      <protection locked="0"/>
    </xf>
    <xf numFmtId="0" fontId="6" fillId="0" borderId="10" xfId="816" quotePrefix="1" applyFont="1" applyFill="1" applyBorder="1" applyAlignment="1" applyProtection="1">
      <alignment horizontal="center"/>
      <protection locked="0"/>
    </xf>
    <xf numFmtId="0" fontId="6" fillId="0" borderId="0" xfId="816" quotePrefix="1" applyFont="1" applyFill="1" applyBorder="1" applyAlignment="1" applyProtection="1">
      <alignment horizontal="center"/>
      <protection locked="0"/>
    </xf>
    <xf numFmtId="0" fontId="0" fillId="0" borderId="0" xfId="0" applyAlignment="1" applyProtection="1">
      <alignment horizontal="center"/>
      <protection locked="0"/>
    </xf>
    <xf numFmtId="167" fontId="6" fillId="0" borderId="10" xfId="14" applyNumberFormat="1" applyFont="1" applyFill="1" applyBorder="1" applyAlignment="1" applyProtection="1">
      <alignment horizontal="center"/>
      <protection locked="0"/>
    </xf>
    <xf numFmtId="166" fontId="6" fillId="0" borderId="10" xfId="816" applyNumberFormat="1" applyFont="1" applyFill="1" applyBorder="1" applyAlignment="1" applyProtection="1">
      <alignment horizontal="center"/>
      <protection locked="0"/>
    </xf>
    <xf numFmtId="167" fontId="6" fillId="0" borderId="0" xfId="14" applyNumberFormat="1" applyFont="1" applyFill="1" applyBorder="1" applyAlignment="1" applyProtection="1">
      <alignment horizontal="center"/>
      <protection locked="0"/>
    </xf>
    <xf numFmtId="166" fontId="6" fillId="0" borderId="0" xfId="816" applyNumberFormat="1" applyFont="1" applyFill="1" applyBorder="1" applyAlignment="1" applyProtection="1">
      <alignment horizontal="center"/>
      <protection locked="0"/>
    </xf>
    <xf numFmtId="166" fontId="0" fillId="0" borderId="0" xfId="0" applyNumberFormat="1" applyAlignment="1" applyProtection="1">
      <alignment horizontal="center"/>
      <protection locked="0"/>
    </xf>
    <xf numFmtId="0" fontId="0" fillId="7" borderId="35" xfId="816" applyFont="1" applyBorder="1" applyProtection="1">
      <protection locked="0"/>
    </xf>
    <xf numFmtId="0" fontId="83" fillId="0" borderId="0" xfId="0" applyFont="1"/>
    <xf numFmtId="0" fontId="23" fillId="7" borderId="36" xfId="816" applyFont="1" applyBorder="1" applyProtection="1">
      <protection locked="0"/>
    </xf>
    <xf numFmtId="0" fontId="0" fillId="9" borderId="14" xfId="0" applyFill="1" applyBorder="1"/>
    <xf numFmtId="0" fontId="0" fillId="7" borderId="37" xfId="816" applyFont="1" applyBorder="1" applyProtection="1">
      <protection locked="0"/>
    </xf>
    <xf numFmtId="0" fontId="23" fillId="0" borderId="9" xfId="0" applyFont="1" applyBorder="1" applyAlignment="1">
      <alignment horizontal="center"/>
    </xf>
    <xf numFmtId="0" fontId="83" fillId="0" borderId="8" xfId="0" applyFont="1" applyBorder="1"/>
    <xf numFmtId="0" fontId="23" fillId="7" borderId="38" xfId="816" applyFont="1" applyBorder="1" applyProtection="1">
      <protection locked="0"/>
    </xf>
    <xf numFmtId="0" fontId="83" fillId="0" borderId="12" xfId="0" applyFont="1" applyBorder="1"/>
    <xf numFmtId="0" fontId="83" fillId="0" borderId="1" xfId="0" applyFont="1" applyBorder="1"/>
    <xf numFmtId="0" fontId="23" fillId="7" borderId="39" xfId="816" applyFont="1" applyBorder="1" applyProtection="1">
      <protection locked="0"/>
    </xf>
    <xf numFmtId="0" fontId="23" fillId="0" borderId="13" xfId="0" applyFont="1" applyBorder="1" applyAlignment="1">
      <alignment horizontal="center"/>
    </xf>
    <xf numFmtId="0" fontId="79" fillId="9" borderId="11" xfId="0" applyFont="1" applyFill="1" applyBorder="1" applyAlignment="1" applyProtection="1">
      <alignment horizontal="center"/>
      <protection hidden="1"/>
    </xf>
    <xf numFmtId="0" fontId="79" fillId="9" borderId="14" xfId="0" applyFont="1" applyFill="1" applyBorder="1" applyProtection="1">
      <protection hidden="1"/>
    </xf>
    <xf numFmtId="0" fontId="4" fillId="0" borderId="0" xfId="0" applyFont="1"/>
    <xf numFmtId="0" fontId="93" fillId="6" borderId="8" xfId="0" applyFont="1" applyFill="1" applyBorder="1" applyAlignment="1">
      <alignment horizontal="left"/>
    </xf>
    <xf numFmtId="0" fontId="93" fillId="6" borderId="0" xfId="0" applyFont="1" applyFill="1" applyAlignment="1">
      <alignment horizontal="center"/>
    </xf>
    <xf numFmtId="0" fontId="93" fillId="6" borderId="0" xfId="0" applyFont="1" applyFill="1" applyAlignment="1">
      <alignment horizontal="right"/>
    </xf>
    <xf numFmtId="0" fontId="93" fillId="6" borderId="9" xfId="0" applyFont="1" applyFill="1" applyBorder="1" applyAlignment="1">
      <alignment horizontal="right"/>
    </xf>
    <xf numFmtId="0" fontId="93" fillId="6" borderId="15" xfId="0" applyFont="1" applyFill="1" applyBorder="1" applyAlignment="1">
      <alignment horizontal="right"/>
    </xf>
    <xf numFmtId="0" fontId="93" fillId="0" borderId="0" xfId="0" applyFont="1" applyAlignment="1">
      <alignment horizontal="right"/>
    </xf>
    <xf numFmtId="0" fontId="93" fillId="6" borderId="22" xfId="0" applyFont="1" applyFill="1" applyBorder="1" applyAlignment="1">
      <alignment horizontal="right"/>
    </xf>
    <xf numFmtId="166" fontId="91" fillId="0" borderId="0" xfId="0" applyNumberFormat="1" applyFont="1"/>
    <xf numFmtId="0" fontId="93" fillId="6" borderId="12" xfId="0" applyFont="1" applyFill="1" applyBorder="1" applyAlignment="1">
      <alignment horizontal="left"/>
    </xf>
    <xf numFmtId="0" fontId="93" fillId="6" borderId="1" xfId="0" applyFont="1" applyFill="1" applyBorder="1" applyAlignment="1">
      <alignment horizontal="center"/>
    </xf>
    <xf numFmtId="0" fontId="93" fillId="6" borderId="1" xfId="0" applyFont="1" applyFill="1" applyBorder="1" applyAlignment="1">
      <alignment horizontal="right"/>
    </xf>
    <xf numFmtId="0" fontId="93" fillId="6" borderId="13" xfId="0" applyFont="1" applyFill="1" applyBorder="1" applyAlignment="1">
      <alignment horizontal="right"/>
    </xf>
    <xf numFmtId="0" fontId="93" fillId="6" borderId="16" xfId="0" applyFont="1" applyFill="1" applyBorder="1" applyAlignment="1">
      <alignment horizontal="right"/>
    </xf>
    <xf numFmtId="166" fontId="6" fillId="0" borderId="20" xfId="816" applyNumberFormat="1" applyFont="1" applyFill="1" applyBorder="1" applyProtection="1"/>
    <xf numFmtId="7" fontId="4" fillId="0" borderId="0" xfId="96" applyNumberFormat="1" applyFont="1" applyFill="1" applyBorder="1" applyProtection="1"/>
    <xf numFmtId="166" fontId="4" fillId="0" borderId="9" xfId="0" applyNumberFormat="1" applyFont="1" applyBorder="1"/>
    <xf numFmtId="166" fontId="4" fillId="0" borderId="22" xfId="0" applyNumberFormat="1" applyFont="1" applyBorder="1"/>
    <xf numFmtId="166" fontId="6" fillId="0" borderId="0" xfId="0" applyNumberFormat="1" applyFont="1"/>
    <xf numFmtId="0" fontId="93" fillId="6" borderId="0" xfId="0" applyFont="1" applyFill="1" applyAlignment="1">
      <alignment horizontal="left"/>
    </xf>
    <xf numFmtId="166" fontId="6" fillId="0" borderId="17" xfId="816" applyNumberFormat="1" applyFont="1" applyFill="1" applyProtection="1"/>
    <xf numFmtId="0" fontId="6" fillId="9" borderId="12" xfId="0" applyFont="1" applyFill="1" applyBorder="1"/>
    <xf numFmtId="183" fontId="6" fillId="9" borderId="1" xfId="0" applyNumberFormat="1" applyFont="1" applyFill="1" applyBorder="1" applyAlignment="1">
      <alignment horizontal="center"/>
    </xf>
    <xf numFmtId="182" fontId="6" fillId="9" borderId="1" xfId="0" applyNumberFormat="1" applyFont="1" applyFill="1" applyBorder="1" applyAlignment="1">
      <alignment horizontal="center"/>
    </xf>
    <xf numFmtId="5" fontId="6" fillId="9" borderId="1" xfId="96" applyNumberFormat="1" applyFont="1" applyFill="1" applyBorder="1" applyProtection="1"/>
    <xf numFmtId="166" fontId="6" fillId="9" borderId="1" xfId="0" applyNumberFormat="1" applyFont="1" applyFill="1" applyBorder="1"/>
    <xf numFmtId="7" fontId="4" fillId="0" borderId="1" xfId="96" applyNumberFormat="1" applyFont="1" applyFill="1" applyBorder="1" applyProtection="1"/>
    <xf numFmtId="166" fontId="4" fillId="0" borderId="13" xfId="0" applyNumberFormat="1" applyFont="1" applyBorder="1"/>
    <xf numFmtId="166" fontId="4" fillId="0" borderId="16" xfId="0" applyNumberFormat="1" applyFont="1" applyBorder="1"/>
    <xf numFmtId="43" fontId="4" fillId="0" borderId="0" xfId="0" applyNumberFormat="1" applyFont="1"/>
    <xf numFmtId="0" fontId="4" fillId="0" borderId="15" xfId="0" applyFont="1" applyBorder="1"/>
    <xf numFmtId="0" fontId="4" fillId="0" borderId="22" xfId="0" applyFont="1" applyBorder="1"/>
    <xf numFmtId="0" fontId="79" fillId="9" borderId="0" xfId="0" applyFont="1" applyFill="1" applyAlignment="1" applyProtection="1">
      <alignment horizontal="center" wrapText="1"/>
      <protection hidden="1"/>
    </xf>
    <xf numFmtId="167" fontId="79" fillId="9" borderId="0" xfId="14" applyNumberFormat="1" applyFont="1" applyFill="1" applyBorder="1" applyAlignment="1" applyProtection="1">
      <alignment horizontal="center"/>
      <protection hidden="1"/>
    </xf>
    <xf numFmtId="0" fontId="83" fillId="0" borderId="0" xfId="0" applyFont="1" applyProtection="1">
      <protection hidden="1"/>
    </xf>
    <xf numFmtId="190" fontId="5" fillId="0" borderId="0" xfId="820" applyNumberFormat="1" applyFont="1" applyFill="1" applyBorder="1" applyAlignment="1" applyProtection="1">
      <alignment horizontal="left"/>
      <protection hidden="1"/>
    </xf>
    <xf numFmtId="0" fontId="93" fillId="6" borderId="22" xfId="0" applyFont="1" applyFill="1" applyBorder="1" applyAlignment="1">
      <alignment horizontal="left"/>
    </xf>
    <xf numFmtId="0" fontId="94" fillId="0" borderId="0" xfId="0" applyFont="1" applyAlignment="1">
      <alignment horizontal="right"/>
    </xf>
    <xf numFmtId="0" fontId="68" fillId="15" borderId="0" xfId="487" applyFont="1" applyFill="1" applyProtection="1">
      <protection hidden="1"/>
    </xf>
    <xf numFmtId="0" fontId="68" fillId="9" borderId="0" xfId="487" applyFont="1" applyFill="1" applyProtection="1">
      <protection hidden="1"/>
    </xf>
    <xf numFmtId="0" fontId="80" fillId="0" borderId="0" xfId="0" applyFont="1"/>
    <xf numFmtId="0" fontId="31" fillId="0" borderId="0" xfId="0" applyFont="1" applyAlignment="1">
      <alignment vertical="top"/>
    </xf>
    <xf numFmtId="197" fontId="28" fillId="0" borderId="0" xfId="0" applyNumberFormat="1" applyFont="1" applyAlignment="1">
      <alignment horizontal="right" vertical="center"/>
    </xf>
    <xf numFmtId="0" fontId="85" fillId="24" borderId="0" xfId="822" applyFont="1" applyFill="1"/>
    <xf numFmtId="0" fontId="96" fillId="0" borderId="0" xfId="822"/>
    <xf numFmtId="0" fontId="96" fillId="0" borderId="0" xfId="822" applyAlignment="1">
      <alignment horizontal="left"/>
    </xf>
    <xf numFmtId="0" fontId="96" fillId="0" borderId="0" xfId="822" applyAlignment="1">
      <alignment wrapText="1"/>
    </xf>
    <xf numFmtId="0" fontId="85" fillId="24" borderId="0" xfId="822" applyFont="1" applyFill="1" applyAlignment="1">
      <alignment horizontal="left"/>
    </xf>
    <xf numFmtId="0" fontId="96" fillId="0" borderId="0" xfId="822" applyAlignment="1">
      <alignment horizontal="left" wrapText="1"/>
    </xf>
    <xf numFmtId="14" fontId="96" fillId="0" borderId="0" xfId="822" applyNumberFormat="1" applyAlignment="1">
      <alignment horizontal="left"/>
    </xf>
    <xf numFmtId="0" fontId="97" fillId="24" borderId="0" xfId="822" applyFont="1" applyFill="1"/>
    <xf numFmtId="0" fontId="98" fillId="0" borderId="0" xfId="822" applyFont="1"/>
    <xf numFmtId="5" fontId="3" fillId="0" borderId="0" xfId="128" applyNumberFormat="1" applyAlignment="1"/>
    <xf numFmtId="166" fontId="96" fillId="0" borderId="0" xfId="822" applyNumberFormat="1"/>
    <xf numFmtId="5" fontId="3" fillId="0" borderId="0" xfId="128" applyNumberFormat="1" applyFill="1" applyAlignment="1"/>
    <xf numFmtId="9" fontId="3" fillId="0" borderId="0" xfId="769" applyAlignment="1"/>
    <xf numFmtId="0" fontId="98" fillId="0" borderId="0" xfId="822" applyFont="1" applyAlignment="1">
      <alignment horizontal="left" indent="1"/>
    </xf>
    <xf numFmtId="0" fontId="96" fillId="0" borderId="0" xfId="822" applyAlignment="1">
      <alignment horizontal="right"/>
    </xf>
    <xf numFmtId="10" fontId="96" fillId="0" borderId="0" xfId="822" applyNumberFormat="1"/>
    <xf numFmtId="0" fontId="98" fillId="0" borderId="0" xfId="823" applyFont="1" applyFill="1" applyAlignment="1" applyProtection="1">
      <alignment horizontal="left" indent="1"/>
    </xf>
    <xf numFmtId="2" fontId="96" fillId="0" borderId="0" xfId="822" applyNumberFormat="1"/>
    <xf numFmtId="0" fontId="98" fillId="0" borderId="0" xfId="823" applyFont="1" applyFill="1" applyAlignment="1" applyProtection="1">
      <alignment horizontal="left"/>
    </xf>
    <xf numFmtId="1" fontId="96" fillId="0" borderId="0" xfId="822" applyNumberFormat="1"/>
    <xf numFmtId="9" fontId="96" fillId="0" borderId="0" xfId="822" applyNumberFormat="1"/>
    <xf numFmtId="6" fontId="96" fillId="0" borderId="0" xfId="822" applyNumberFormat="1"/>
    <xf numFmtId="166" fontId="96" fillId="0" borderId="0" xfId="822" applyNumberFormat="1" applyAlignment="1">
      <alignment horizontal="right"/>
    </xf>
    <xf numFmtId="14" fontId="96" fillId="0" borderId="0" xfId="822" applyNumberFormat="1"/>
    <xf numFmtId="8" fontId="3" fillId="0" borderId="0" xfId="128" applyNumberFormat="1" applyFill="1" applyAlignment="1"/>
    <xf numFmtId="2" fontId="96" fillId="0" borderId="0" xfId="822" applyNumberFormat="1" applyAlignment="1">
      <alignment horizontal="right"/>
    </xf>
    <xf numFmtId="37" fontId="3" fillId="0" borderId="0" xfId="54" applyNumberFormat="1" applyFont="1" applyFill="1" applyAlignment="1"/>
    <xf numFmtId="9" fontId="3" fillId="0" borderId="0" xfId="769" applyFill="1" applyAlignment="1"/>
    <xf numFmtId="3" fontId="3" fillId="0" borderId="0" xfId="54" applyNumberFormat="1" applyFill="1" applyAlignment="1"/>
    <xf numFmtId="0" fontId="98" fillId="0" borderId="0" xfId="823" applyFont="1" applyFill="1" applyAlignment="1" applyProtection="1"/>
    <xf numFmtId="166" fontId="3" fillId="0" borderId="0" xfId="128" applyNumberFormat="1" applyFill="1" applyAlignment="1"/>
    <xf numFmtId="8" fontId="98" fillId="0" borderId="0" xfId="128" applyNumberFormat="1" applyFont="1" applyFill="1" applyAlignment="1"/>
    <xf numFmtId="166" fontId="98" fillId="0" borderId="0" xfId="128" applyNumberFormat="1" applyFont="1" applyFill="1" applyAlignment="1"/>
    <xf numFmtId="10" fontId="3" fillId="0" borderId="0" xfId="769" applyNumberFormat="1" applyFill="1" applyAlignment="1"/>
    <xf numFmtId="0" fontId="96" fillId="9" borderId="11" xfId="822" applyFill="1" applyBorder="1"/>
    <xf numFmtId="166" fontId="96" fillId="9" borderId="14" xfId="822" applyNumberFormat="1" applyFill="1" applyBorder="1"/>
    <xf numFmtId="0" fontId="96" fillId="9" borderId="8" xfId="822" applyFill="1" applyBorder="1"/>
    <xf numFmtId="10" fontId="96" fillId="9" borderId="9" xfId="822" applyNumberFormat="1" applyFill="1" applyBorder="1"/>
    <xf numFmtId="0" fontId="96" fillId="9" borderId="9" xfId="822" applyFill="1" applyBorder="1"/>
    <xf numFmtId="0" fontId="96" fillId="9" borderId="12" xfId="822" applyFill="1" applyBorder="1"/>
    <xf numFmtId="0" fontId="96" fillId="9" borderId="13" xfId="822" applyFill="1" applyBorder="1"/>
    <xf numFmtId="0" fontId="100" fillId="29" borderId="41" xfId="822" applyFont="1" applyFill="1" applyBorder="1"/>
    <xf numFmtId="0" fontId="101" fillId="30" borderId="41" xfId="822" applyFont="1" applyFill="1" applyBorder="1" applyAlignment="1">
      <alignment horizontal="right"/>
    </xf>
    <xf numFmtId="166" fontId="101" fillId="30" borderId="41" xfId="822" applyNumberFormat="1" applyFont="1" applyFill="1" applyBorder="1" applyAlignment="1">
      <alignment horizontal="right"/>
    </xf>
    <xf numFmtId="169" fontId="101" fillId="30" borderId="41" xfId="822" applyNumberFormat="1" applyFont="1" applyFill="1" applyBorder="1" applyAlignment="1">
      <alignment horizontal="right"/>
    </xf>
    <xf numFmtId="166" fontId="102" fillId="30" borderId="52" xfId="822" applyNumberFormat="1" applyFont="1" applyFill="1" applyBorder="1" applyAlignment="1">
      <alignment horizontal="right"/>
    </xf>
    <xf numFmtId="166" fontId="101" fillId="30" borderId="53" xfId="822" applyNumberFormat="1" applyFont="1" applyFill="1" applyBorder="1" applyAlignment="1">
      <alignment horizontal="right"/>
    </xf>
    <xf numFmtId="166" fontId="101" fillId="30" borderId="54" xfId="822" applyNumberFormat="1" applyFont="1" applyFill="1" applyBorder="1" applyAlignment="1">
      <alignment horizontal="right"/>
    </xf>
    <xf numFmtId="0" fontId="101" fillId="30" borderId="41" xfId="822" applyFont="1" applyFill="1" applyBorder="1" applyAlignment="1">
      <alignment horizontal="left"/>
    </xf>
    <xf numFmtId="1" fontId="100" fillId="29" borderId="55" xfId="822" applyNumberFormat="1" applyFont="1" applyFill="1" applyBorder="1"/>
    <xf numFmtId="6" fontId="101" fillId="30" borderId="41" xfId="822" applyNumberFormat="1" applyFont="1" applyFill="1" applyBorder="1" applyAlignment="1">
      <alignment horizontal="right"/>
    </xf>
    <xf numFmtId="10" fontId="101" fillId="30" borderId="41" xfId="822" applyNumberFormat="1" applyFont="1" applyFill="1" applyBorder="1" applyAlignment="1">
      <alignment horizontal="right"/>
    </xf>
    <xf numFmtId="0" fontId="102" fillId="30" borderId="41" xfId="822" applyFont="1" applyFill="1" applyBorder="1" applyAlignment="1">
      <alignment horizontal="left"/>
    </xf>
    <xf numFmtId="6" fontId="102" fillId="30" borderId="41" xfId="822" applyNumberFormat="1" applyFont="1" applyFill="1" applyBorder="1" applyAlignment="1">
      <alignment horizontal="right"/>
    </xf>
    <xf numFmtId="10" fontId="102" fillId="30" borderId="41" xfId="822" applyNumberFormat="1" applyFont="1" applyFill="1" applyBorder="1" applyAlignment="1">
      <alignment horizontal="right"/>
    </xf>
    <xf numFmtId="10" fontId="102" fillId="30" borderId="41" xfId="822" applyNumberFormat="1" applyFont="1" applyFill="1" applyBorder="1" applyAlignment="1">
      <alignment horizontal="left"/>
    </xf>
    <xf numFmtId="10" fontId="101" fillId="30" borderId="41" xfId="822" applyNumberFormat="1" applyFont="1" applyFill="1" applyBorder="1" applyAlignment="1">
      <alignment horizontal="left"/>
    </xf>
    <xf numFmtId="0" fontId="95" fillId="28" borderId="0" xfId="821" applyAlignment="1"/>
    <xf numFmtId="0" fontId="63" fillId="14" borderId="0" xfId="487" applyFont="1" applyFill="1" applyProtection="1">
      <protection hidden="1"/>
    </xf>
    <xf numFmtId="0" fontId="61" fillId="0" borderId="0" xfId="0" applyFont="1" applyAlignment="1" applyProtection="1">
      <alignment horizontal="right" indent="1"/>
      <protection hidden="1"/>
    </xf>
    <xf numFmtId="0" fontId="83" fillId="0" borderId="0" xfId="0" applyFont="1" applyAlignment="1">
      <alignment horizontal="center"/>
    </xf>
    <xf numFmtId="6" fontId="96" fillId="0" borderId="0" xfId="822" applyNumberFormat="1" applyAlignment="1">
      <alignment horizontal="right"/>
    </xf>
    <xf numFmtId="0" fontId="83" fillId="0" borderId="0" xfId="816" applyFont="1" applyFill="1" applyBorder="1" applyAlignment="1" applyProtection="1">
      <alignment horizontal="center"/>
      <protection hidden="1"/>
    </xf>
    <xf numFmtId="0" fontId="6" fillId="0" borderId="0" xfId="0" applyFont="1"/>
    <xf numFmtId="166" fontId="101" fillId="0" borderId="53" xfId="822" applyNumberFormat="1" applyFont="1" applyBorder="1" applyAlignment="1">
      <alignment horizontal="right"/>
    </xf>
    <xf numFmtId="0" fontId="58" fillId="0" borderId="17" xfId="816" applyFont="1" applyFill="1" applyAlignment="1" applyProtection="1">
      <alignment horizontal="left"/>
      <protection locked="0" hidden="1"/>
    </xf>
    <xf numFmtId="8" fontId="102" fillId="30" borderId="41" xfId="822" applyNumberFormat="1" applyFont="1" applyFill="1" applyBorder="1" applyAlignment="1">
      <alignment horizontal="right"/>
    </xf>
    <xf numFmtId="8" fontId="101" fillId="30" borderId="41" xfId="822" applyNumberFormat="1" applyFont="1" applyFill="1" applyBorder="1" applyAlignment="1">
      <alignment horizontal="right"/>
    </xf>
    <xf numFmtId="4" fontId="101" fillId="12" borderId="41" xfId="822" applyNumberFormat="1" applyFont="1" applyFill="1" applyBorder="1" applyAlignment="1">
      <alignment horizontal="right"/>
    </xf>
    <xf numFmtId="1" fontId="100" fillId="31" borderId="55" xfId="822" applyNumberFormat="1" applyFont="1" applyFill="1" applyBorder="1"/>
    <xf numFmtId="0" fontId="102" fillId="30" borderId="55" xfId="822" applyFont="1" applyFill="1" applyBorder="1" applyAlignment="1">
      <alignment horizontal="left"/>
    </xf>
    <xf numFmtId="6" fontId="102" fillId="30" borderId="55" xfId="822" applyNumberFormat="1" applyFont="1" applyFill="1" applyBorder="1" applyAlignment="1">
      <alignment horizontal="right"/>
    </xf>
    <xf numFmtId="10" fontId="102" fillId="30" borderId="55" xfId="822" applyNumberFormat="1" applyFont="1" applyFill="1" applyBorder="1" applyAlignment="1">
      <alignment horizontal="right"/>
    </xf>
    <xf numFmtId="40" fontId="102" fillId="30" borderId="55" xfId="822" applyNumberFormat="1" applyFont="1" applyFill="1" applyBorder="1" applyAlignment="1">
      <alignment horizontal="right"/>
    </xf>
    <xf numFmtId="166" fontId="102" fillId="30" borderId="55" xfId="822" applyNumberFormat="1" applyFont="1" applyFill="1" applyBorder="1" applyAlignment="1">
      <alignment horizontal="right"/>
    </xf>
    <xf numFmtId="191" fontId="5" fillId="0" borderId="0" xfId="487" applyNumberFormat="1"/>
    <xf numFmtId="166" fontId="68" fillId="0" borderId="0" xfId="487" applyNumberFormat="1" applyFont="1" applyProtection="1">
      <protection hidden="1"/>
    </xf>
    <xf numFmtId="4" fontId="96" fillId="0" borderId="0" xfId="822" applyNumberFormat="1"/>
    <xf numFmtId="166" fontId="91" fillId="0" borderId="0" xfId="0" applyNumberFormat="1" applyFont="1" applyAlignment="1" applyProtection="1">
      <alignment horizontal="center"/>
      <protection hidden="1"/>
    </xf>
    <xf numFmtId="0" fontId="91" fillId="0" borderId="0" xfId="0" applyFont="1" applyProtection="1">
      <protection hidden="1"/>
    </xf>
    <xf numFmtId="0" fontId="26" fillId="0" borderId="0" xfId="0" applyFont="1" applyAlignment="1" applyProtection="1">
      <alignment horizontal="right"/>
      <protection hidden="1"/>
    </xf>
    <xf numFmtId="3" fontId="0" fillId="0" borderId="0" xfId="14" applyNumberFormat="1" applyFont="1" applyAlignment="1" applyProtection="1">
      <alignment horizontal="left"/>
    </xf>
    <xf numFmtId="0" fontId="93" fillId="6" borderId="10" xfId="0" applyFont="1" applyFill="1" applyBorder="1" applyAlignment="1">
      <alignment horizontal="right"/>
    </xf>
    <xf numFmtId="5" fontId="6" fillId="9" borderId="58" xfId="96" applyNumberFormat="1" applyFont="1" applyFill="1" applyBorder="1" applyProtection="1"/>
    <xf numFmtId="167" fontId="6" fillId="0" borderId="42" xfId="816" applyNumberFormat="1" applyFont="1" applyFill="1" applyBorder="1" applyProtection="1"/>
    <xf numFmtId="167" fontId="6" fillId="0" borderId="36" xfId="816" applyNumberFormat="1" applyFont="1" applyFill="1" applyBorder="1" applyProtection="1"/>
    <xf numFmtId="0" fontId="93" fillId="6" borderId="14" xfId="0" applyFont="1" applyFill="1" applyBorder="1" applyAlignment="1">
      <alignment horizontal="right"/>
    </xf>
    <xf numFmtId="5" fontId="6" fillId="13" borderId="59" xfId="816" applyNumberFormat="1" applyFont="1" applyFill="1" applyBorder="1" applyProtection="1">
      <protection locked="0"/>
    </xf>
    <xf numFmtId="5" fontId="6" fillId="13" borderId="60" xfId="816" applyNumberFormat="1" applyFont="1" applyFill="1" applyBorder="1" applyProtection="1">
      <protection locked="0"/>
    </xf>
    <xf numFmtId="167" fontId="61" fillId="0" borderId="42" xfId="816" applyNumberFormat="1" applyFont="1" applyFill="1" applyBorder="1" applyProtection="1"/>
    <xf numFmtId="167" fontId="61" fillId="0" borderId="36" xfId="816" applyNumberFormat="1" applyFont="1" applyFill="1" applyBorder="1" applyProtection="1"/>
    <xf numFmtId="182" fontId="61" fillId="9" borderId="61" xfId="14" applyNumberFormat="1" applyFont="1" applyFill="1" applyBorder="1" applyProtection="1"/>
    <xf numFmtId="182" fontId="6" fillId="9" borderId="61" xfId="14" applyNumberFormat="1" applyFont="1" applyFill="1" applyBorder="1" applyProtection="1"/>
    <xf numFmtId="5" fontId="6" fillId="9" borderId="62" xfId="96" applyNumberFormat="1" applyFont="1" applyFill="1" applyBorder="1" applyProtection="1"/>
    <xf numFmtId="0" fontId="26" fillId="0" borderId="0" xfId="0" applyFont="1" applyAlignment="1" applyProtection="1">
      <alignment horizontal="left"/>
      <protection hidden="1"/>
    </xf>
    <xf numFmtId="0" fontId="0" fillId="33" borderId="0" xfId="0" applyFill="1"/>
    <xf numFmtId="0" fontId="6" fillId="0" borderId="0" xfId="0" applyFont="1" applyAlignment="1">
      <alignment horizontal="left"/>
    </xf>
    <xf numFmtId="0" fontId="58" fillId="0" borderId="0" xfId="0" applyFont="1" applyProtection="1">
      <protection locked="0"/>
    </xf>
    <xf numFmtId="0" fontId="26" fillId="33" borderId="0" xfId="0" applyFont="1" applyFill="1"/>
    <xf numFmtId="6" fontId="76" fillId="0" borderId="0" xfId="0" applyNumberFormat="1" applyFont="1" applyAlignment="1">
      <alignment horizontal="left"/>
    </xf>
    <xf numFmtId="14" fontId="0" fillId="0" borderId="0" xfId="0" applyNumberFormat="1" applyAlignment="1">
      <alignment horizontal="left"/>
    </xf>
    <xf numFmtId="0" fontId="83" fillId="0" borderId="0" xfId="0" applyFont="1" applyAlignment="1" applyProtection="1">
      <alignment horizontal="right"/>
      <protection hidden="1"/>
    </xf>
    <xf numFmtId="199" fontId="58" fillId="0" borderId="0" xfId="0" applyNumberFormat="1" applyFont="1"/>
    <xf numFmtId="176" fontId="58" fillId="0" borderId="0" xfId="718" applyNumberFormat="1" applyFont="1" applyProtection="1"/>
    <xf numFmtId="0" fontId="31" fillId="0" borderId="0" xfId="0" applyFont="1" applyAlignment="1" applyProtection="1">
      <alignment horizontal="right" indent="1"/>
      <protection hidden="1"/>
    </xf>
    <xf numFmtId="0" fontId="31" fillId="0" borderId="0" xfId="0" applyFont="1" applyAlignment="1" applyProtection="1">
      <alignment horizontal="right" vertical="center" indent="1"/>
      <protection hidden="1"/>
    </xf>
    <xf numFmtId="0" fontId="31" fillId="0" borderId="0" xfId="0" applyFont="1" applyAlignment="1" applyProtection="1">
      <alignment horizontal="right" vertical="top" indent="1"/>
      <protection hidden="1"/>
    </xf>
    <xf numFmtId="0" fontId="27" fillId="0" borderId="0" xfId="0" applyFont="1" applyAlignment="1" applyProtection="1">
      <alignment horizontal="right" indent="1"/>
      <protection hidden="1"/>
    </xf>
    <xf numFmtId="0" fontId="27" fillId="0" borderId="0" xfId="0" applyFont="1" applyAlignment="1" applyProtection="1">
      <alignment horizontal="right" vertical="center" indent="1"/>
      <protection hidden="1"/>
    </xf>
    <xf numFmtId="0" fontId="27" fillId="0" borderId="0" xfId="0" applyFont="1" applyAlignment="1" applyProtection="1">
      <alignment horizontal="right" vertical="top" indent="1"/>
      <protection hidden="1"/>
    </xf>
    <xf numFmtId="0" fontId="27" fillId="0" borderId="0" xfId="0" applyFont="1" applyProtection="1">
      <protection hidden="1"/>
    </xf>
    <xf numFmtId="0" fontId="31" fillId="0" borderId="0" xfId="0" applyFont="1" applyProtection="1">
      <protection hidden="1"/>
    </xf>
    <xf numFmtId="0" fontId="31" fillId="0" borderId="0" xfId="0" applyFont="1" applyAlignment="1" applyProtection="1">
      <alignment horizontal="center" vertical="center"/>
      <protection hidden="1"/>
    </xf>
    <xf numFmtId="7" fontId="0" fillId="0" borderId="0" xfId="0" applyNumberFormat="1"/>
    <xf numFmtId="0" fontId="67" fillId="9" borderId="9" xfId="0" applyFont="1" applyFill="1" applyBorder="1" applyAlignment="1" applyProtection="1">
      <alignment horizontal="center"/>
      <protection hidden="1"/>
    </xf>
    <xf numFmtId="0" fontId="86" fillId="0" borderId="0" xfId="0" applyFont="1"/>
    <xf numFmtId="0" fontId="31" fillId="0" borderId="0" xfId="0" applyFont="1" applyAlignment="1">
      <alignment horizontal="right" vertical="top" indent="1"/>
    </xf>
    <xf numFmtId="198" fontId="30" fillId="0" borderId="0" xfId="0" applyNumberFormat="1" applyFont="1" applyAlignment="1">
      <alignment vertical="center"/>
    </xf>
    <xf numFmtId="0" fontId="6" fillId="0" borderId="0" xfId="0" applyFont="1" applyProtection="1">
      <protection hidden="1"/>
    </xf>
    <xf numFmtId="0" fontId="0" fillId="0" borderId="9" xfId="0" applyBorder="1" applyAlignment="1">
      <alignment horizontal="center"/>
    </xf>
    <xf numFmtId="0" fontId="0" fillId="0" borderId="13" xfId="0" applyBorder="1" applyAlignment="1">
      <alignment horizontal="center"/>
    </xf>
    <xf numFmtId="0" fontId="83" fillId="0" borderId="9" xfId="0" applyFont="1" applyBorder="1" applyProtection="1">
      <protection hidden="1"/>
    </xf>
    <xf numFmtId="4" fontId="58" fillId="0" borderId="0" xfId="0" applyNumberFormat="1" applyFont="1"/>
    <xf numFmtId="0" fontId="27" fillId="0" borderId="0" xfId="0" applyFont="1" applyAlignment="1" applyProtection="1">
      <alignment horizontal="center" vertical="center"/>
      <protection hidden="1"/>
    </xf>
    <xf numFmtId="0" fontId="27" fillId="0" borderId="0" xfId="0" applyFont="1" applyAlignment="1">
      <alignment horizontal="right" indent="1"/>
    </xf>
    <xf numFmtId="0" fontId="27" fillId="0" borderId="0" xfId="0" applyFont="1" applyAlignment="1">
      <alignment vertical="top"/>
    </xf>
    <xf numFmtId="0" fontId="27" fillId="0" borderId="0" xfId="0" applyFont="1" applyAlignment="1">
      <alignment horizontal="right" vertical="top" indent="1"/>
    </xf>
    <xf numFmtId="0" fontId="27" fillId="0" borderId="0" xfId="0" applyFont="1" applyAlignment="1">
      <alignment vertical="center"/>
    </xf>
    <xf numFmtId="0" fontId="101" fillId="30" borderId="68" xfId="822" applyFont="1" applyFill="1" applyBorder="1" applyAlignment="1">
      <alignment horizontal="right"/>
    </xf>
    <xf numFmtId="0" fontId="101" fillId="30" borderId="69" xfId="822" applyFont="1" applyFill="1" applyBorder="1" applyAlignment="1">
      <alignment horizontal="right"/>
    </xf>
    <xf numFmtId="166" fontId="101" fillId="30" borderId="69" xfId="822" applyNumberFormat="1" applyFont="1" applyFill="1" applyBorder="1" applyAlignment="1">
      <alignment horizontal="right"/>
    </xf>
    <xf numFmtId="169" fontId="101" fillId="30" borderId="69" xfId="822" applyNumberFormat="1" applyFont="1" applyFill="1" applyBorder="1" applyAlignment="1">
      <alignment horizontal="right"/>
    </xf>
    <xf numFmtId="166" fontId="101" fillId="30" borderId="70" xfId="822" applyNumberFormat="1" applyFont="1" applyFill="1" applyBorder="1" applyAlignment="1">
      <alignment horizontal="right"/>
    </xf>
    <xf numFmtId="0" fontId="27" fillId="6" borderId="0" xfId="0" applyFont="1" applyFill="1" applyAlignment="1">
      <alignment vertical="center"/>
    </xf>
    <xf numFmtId="0" fontId="27" fillId="6" borderId="0" xfId="0" applyFont="1" applyFill="1"/>
    <xf numFmtId="0" fontId="103" fillId="0" borderId="0" xfId="0" applyFont="1"/>
    <xf numFmtId="0" fontId="104" fillId="0" borderId="0" xfId="0" applyFont="1"/>
    <xf numFmtId="0" fontId="105" fillId="0" borderId="0" xfId="0" applyFont="1"/>
    <xf numFmtId="187" fontId="106" fillId="6" borderId="0" xfId="0" applyNumberFormat="1" applyFont="1" applyFill="1"/>
    <xf numFmtId="0" fontId="104" fillId="0" borderId="0" xfId="0" applyFont="1" applyAlignment="1">
      <alignment horizontal="center"/>
    </xf>
    <xf numFmtId="0" fontId="109" fillId="0" borderId="0" xfId="0" applyFont="1"/>
    <xf numFmtId="0" fontId="109" fillId="19" borderId="0" xfId="0" applyFont="1" applyFill="1" applyAlignment="1">
      <alignment horizontal="right" indent="1"/>
    </xf>
    <xf numFmtId="0" fontId="107" fillId="10" borderId="0" xfId="0" applyFont="1" applyFill="1" applyAlignment="1">
      <alignment horizontal="right"/>
    </xf>
    <xf numFmtId="0" fontId="105" fillId="19" borderId="0" xfId="0" applyFont="1" applyFill="1" applyAlignment="1">
      <alignment horizontal="center" wrapText="1"/>
    </xf>
    <xf numFmtId="0" fontId="110" fillId="0" borderId="0" xfId="0" applyFont="1"/>
    <xf numFmtId="0" fontId="104" fillId="0" borderId="0" xfId="0" applyFont="1" applyAlignment="1">
      <alignment vertical="center"/>
    </xf>
    <xf numFmtId="0" fontId="104" fillId="0" borderId="0" xfId="0" applyFont="1" applyAlignment="1">
      <alignment vertical="top"/>
    </xf>
    <xf numFmtId="0" fontId="110" fillId="0" borderId="0" xfId="0" applyFont="1" applyAlignment="1">
      <alignment vertical="top"/>
    </xf>
    <xf numFmtId="166" fontId="108" fillId="0" borderId="0" xfId="96" applyNumberFormat="1" applyFont="1" applyFill="1" applyBorder="1" applyAlignment="1" applyProtection="1">
      <alignment vertical="center"/>
      <protection hidden="1"/>
    </xf>
    <xf numFmtId="3" fontId="110" fillId="0" borderId="23" xfId="14" applyNumberFormat="1" applyFont="1" applyFill="1" applyBorder="1" applyAlignment="1" applyProtection="1">
      <alignment horizontal="right" vertical="center" indent="1"/>
    </xf>
    <xf numFmtId="166" fontId="110" fillId="0" borderId="23" xfId="96" applyNumberFormat="1" applyFont="1" applyFill="1" applyBorder="1" applyAlignment="1" applyProtection="1">
      <alignment horizontal="right" vertical="center" indent="1"/>
    </xf>
    <xf numFmtId="169" fontId="110" fillId="0" borderId="23" xfId="96" applyNumberFormat="1" applyFont="1" applyFill="1" applyBorder="1" applyAlignment="1" applyProtection="1">
      <alignment horizontal="right" vertical="center" indent="1"/>
    </xf>
    <xf numFmtId="0" fontId="110" fillId="0" borderId="0" xfId="0" applyFont="1" applyAlignment="1">
      <alignment vertical="center"/>
    </xf>
    <xf numFmtId="3" fontId="110" fillId="0" borderId="0" xfId="14" applyNumberFormat="1" applyFont="1" applyFill="1" applyBorder="1" applyAlignment="1" applyProtection="1">
      <alignment horizontal="right" vertical="center" indent="1"/>
    </xf>
    <xf numFmtId="169" fontId="110" fillId="0" borderId="0" xfId="96" applyNumberFormat="1" applyFont="1" applyFill="1" applyBorder="1" applyAlignment="1" applyProtection="1">
      <alignment horizontal="right" vertical="center" indent="1"/>
    </xf>
    <xf numFmtId="166" fontId="108" fillId="23" borderId="24" xfId="0" applyNumberFormat="1" applyFont="1" applyFill="1" applyBorder="1" applyAlignment="1">
      <alignment vertical="center"/>
    </xf>
    <xf numFmtId="166" fontId="108" fillId="12" borderId="24" xfId="0" applyNumberFormat="1" applyFont="1" applyFill="1" applyBorder="1" applyAlignment="1">
      <alignment vertical="center"/>
    </xf>
    <xf numFmtId="0" fontId="112" fillId="0" borderId="0" xfId="0" applyFont="1" applyAlignment="1">
      <alignment horizontal="right" vertical="center" indent="1"/>
    </xf>
    <xf numFmtId="167" fontId="110" fillId="0" borderId="0" xfId="14" applyNumberFormat="1" applyFont="1" applyFill="1" applyBorder="1" applyProtection="1"/>
    <xf numFmtId="5" fontId="110" fillId="0" borderId="0" xfId="96" applyNumberFormat="1" applyFont="1" applyFill="1" applyBorder="1" applyProtection="1"/>
    <xf numFmtId="166" fontId="110" fillId="0" borderId="0" xfId="0" applyNumberFormat="1" applyFont="1"/>
    <xf numFmtId="0" fontId="113" fillId="0" borderId="0" xfId="0" applyFont="1"/>
    <xf numFmtId="166" fontId="108" fillId="12" borderId="24" xfId="0" applyNumberFormat="1" applyFont="1" applyFill="1" applyBorder="1" applyAlignment="1">
      <alignment horizontal="right" vertical="center" indent="1"/>
    </xf>
    <xf numFmtId="3" fontId="108" fillId="0" borderId="0" xfId="0" applyNumberFormat="1" applyFont="1" applyAlignment="1">
      <alignment horizontal="right" vertical="center" indent="1"/>
    </xf>
    <xf numFmtId="166" fontId="110" fillId="0" borderId="0" xfId="0" applyNumberFormat="1" applyFont="1" applyAlignment="1">
      <alignment horizontal="right" vertical="center" indent="1"/>
    </xf>
    <xf numFmtId="169" fontId="108" fillId="0" borderId="0" xfId="0" applyNumberFormat="1" applyFont="1" applyAlignment="1">
      <alignment horizontal="right" vertical="center" indent="1"/>
    </xf>
    <xf numFmtId="167" fontId="110" fillId="0" borderId="0" xfId="14" applyNumberFormat="1" applyFont="1" applyBorder="1" applyProtection="1"/>
    <xf numFmtId="167" fontId="110" fillId="0" borderId="0" xfId="14" applyNumberFormat="1" applyFont="1" applyBorder="1" applyAlignment="1" applyProtection="1">
      <alignment horizontal="center"/>
    </xf>
    <xf numFmtId="1" fontId="110" fillId="0" borderId="0" xfId="0" applyNumberFormat="1" applyFont="1" applyAlignment="1">
      <alignment horizontal="right"/>
    </xf>
    <xf numFmtId="9" fontId="110" fillId="0" borderId="0" xfId="718" applyFont="1" applyFill="1" applyBorder="1" applyAlignment="1" applyProtection="1">
      <alignment horizontal="right"/>
    </xf>
    <xf numFmtId="5" fontId="110" fillId="0" borderId="0" xfId="96" applyNumberFormat="1" applyFont="1" applyBorder="1" applyProtection="1"/>
    <xf numFmtId="0" fontId="104" fillId="0" borderId="0" xfId="0" applyFont="1" applyAlignment="1">
      <alignment wrapText="1"/>
    </xf>
    <xf numFmtId="0" fontId="114" fillId="0" borderId="0" xfId="0" applyFont="1"/>
    <xf numFmtId="0" fontId="114" fillId="0" borderId="0" xfId="0" applyFont="1" applyAlignment="1">
      <alignment horizontal="center"/>
    </xf>
    <xf numFmtId="1" fontId="104" fillId="0" borderId="0" xfId="0" applyNumberFormat="1" applyFont="1" applyAlignment="1">
      <alignment horizontal="right"/>
    </xf>
    <xf numFmtId="10" fontId="104" fillId="0" borderId="0" xfId="0" applyNumberFormat="1" applyFont="1"/>
    <xf numFmtId="0" fontId="116" fillId="0" borderId="0" xfId="0" applyFont="1" applyAlignment="1">
      <alignment horizontal="right"/>
    </xf>
    <xf numFmtId="1" fontId="104" fillId="6" borderId="0" xfId="0" applyNumberFormat="1" applyFont="1" applyFill="1" applyAlignment="1">
      <alignment horizontal="right"/>
    </xf>
    <xf numFmtId="10" fontId="104" fillId="0" borderId="0" xfId="718" applyNumberFormat="1" applyFont="1" applyFill="1" applyBorder="1" applyAlignment="1" applyProtection="1">
      <alignment horizontal="right"/>
    </xf>
    <xf numFmtId="0" fontId="104" fillId="0" borderId="0" xfId="0" applyFont="1" applyAlignment="1">
      <alignment horizontal="right" indent="1"/>
    </xf>
    <xf numFmtId="0" fontId="104" fillId="0" borderId="0" xfId="0" applyFont="1" applyAlignment="1">
      <alignment horizontal="right" vertical="center"/>
    </xf>
    <xf numFmtId="0" fontId="115" fillId="0" borderId="0" xfId="0" applyFont="1" applyAlignment="1">
      <alignment vertical="center"/>
    </xf>
    <xf numFmtId="0" fontId="104" fillId="0" borderId="0" xfId="0" applyFont="1" applyAlignment="1">
      <alignment horizontal="right" vertical="center" indent="1"/>
    </xf>
    <xf numFmtId="0" fontId="104" fillId="0" borderId="0" xfId="0" applyFont="1" applyAlignment="1">
      <alignment horizontal="left" vertical="center" indent="1"/>
    </xf>
    <xf numFmtId="0" fontId="115" fillId="0" borderId="0" xfId="0" applyFont="1" applyAlignment="1">
      <alignment horizontal="left" vertical="center" wrapText="1" indent="1"/>
    </xf>
    <xf numFmtId="186" fontId="110" fillId="6" borderId="0" xfId="718" applyNumberFormat="1" applyFont="1" applyFill="1" applyBorder="1" applyAlignment="1" applyProtection="1">
      <alignment horizontal="center"/>
    </xf>
    <xf numFmtId="0" fontId="115" fillId="0" borderId="0" xfId="0" applyFont="1" applyAlignment="1">
      <alignment horizontal="left" vertical="top" wrapText="1"/>
    </xf>
    <xf numFmtId="0" fontId="115" fillId="0" borderId="0" xfId="0" applyFont="1" applyAlignment="1">
      <alignment wrapText="1"/>
    </xf>
    <xf numFmtId="0" fontId="104" fillId="0" borderId="0" xfId="0" applyFont="1" applyAlignment="1">
      <alignment horizontal="right"/>
    </xf>
    <xf numFmtId="0" fontId="115" fillId="0" borderId="0" xfId="0" applyFont="1" applyAlignment="1">
      <alignment horizontal="left" vertical="center" indent="1"/>
    </xf>
    <xf numFmtId="38" fontId="110" fillId="0" borderId="0" xfId="716" applyFont="1" applyAlignment="1">
      <alignment horizontal="left" vertical="center" indent="1"/>
    </xf>
    <xf numFmtId="0" fontId="105" fillId="0" borderId="0" xfId="0" applyFont="1" applyAlignment="1">
      <alignment wrapText="1"/>
    </xf>
    <xf numFmtId="0" fontId="115" fillId="0" borderId="0" xfId="0" applyFont="1"/>
    <xf numFmtId="0" fontId="110" fillId="0" borderId="0" xfId="0" applyFont="1" applyAlignment="1">
      <alignment horizontal="right" indent="1"/>
    </xf>
    <xf numFmtId="0" fontId="104" fillId="0" borderId="0" xfId="0" applyFont="1" applyAlignment="1">
      <alignment horizontal="right" vertical="top" indent="1"/>
    </xf>
    <xf numFmtId="0" fontId="110" fillId="0" borderId="0" xfId="0" applyFont="1" applyAlignment="1">
      <alignment horizontal="right" vertical="top" indent="1"/>
    </xf>
    <xf numFmtId="40" fontId="104" fillId="0" borderId="0" xfId="0" applyNumberFormat="1" applyFont="1" applyAlignment="1">
      <alignment vertical="center"/>
    </xf>
    <xf numFmtId="0" fontId="115" fillId="0" borderId="0" xfId="0" applyFont="1" applyAlignment="1">
      <alignment horizontal="center" vertical="center"/>
    </xf>
    <xf numFmtId="0" fontId="115" fillId="0" borderId="0" xfId="0" applyFont="1" applyAlignment="1">
      <alignment horizontal="right"/>
    </xf>
    <xf numFmtId="0" fontId="115" fillId="6" borderId="0" xfId="0" applyFont="1" applyFill="1"/>
    <xf numFmtId="0" fontId="109" fillId="6" borderId="0" xfId="0" applyFont="1" applyFill="1" applyAlignment="1">
      <alignment vertical="center"/>
    </xf>
    <xf numFmtId="0" fontId="109" fillId="6" borderId="0" xfId="0" applyFont="1" applyFill="1" applyAlignment="1">
      <alignment horizontal="right" vertical="center" indent="1"/>
    </xf>
    <xf numFmtId="0" fontId="104" fillId="6" borderId="0" xfId="0" applyFont="1" applyFill="1"/>
    <xf numFmtId="0" fontId="110" fillId="6" borderId="0" xfId="0" applyFont="1" applyFill="1"/>
    <xf numFmtId="0" fontId="109" fillId="6" borderId="0" xfId="0" applyFont="1" applyFill="1"/>
    <xf numFmtId="0" fontId="122" fillId="0" borderId="0" xfId="0" applyFont="1"/>
    <xf numFmtId="0" fontId="111" fillId="0" borderId="0" xfId="0" applyFont="1"/>
    <xf numFmtId="0" fontId="111" fillId="26" borderId="0" xfId="0" applyFont="1" applyFill="1" applyAlignment="1">
      <alignment horizontal="center"/>
    </xf>
    <xf numFmtId="0" fontId="117" fillId="6" borderId="0" xfId="0" applyFont="1" applyFill="1" applyAlignment="1">
      <alignment horizontal="right"/>
    </xf>
    <xf numFmtId="166" fontId="115" fillId="6" borderId="0" xfId="96" applyNumberFormat="1" applyFont="1" applyFill="1" applyBorder="1" applyAlignment="1">
      <alignment horizontal="right"/>
    </xf>
    <xf numFmtId="166" fontId="109" fillId="6" borderId="0" xfId="0" applyNumberFormat="1" applyFont="1" applyFill="1"/>
    <xf numFmtId="0" fontId="118" fillId="6" borderId="0" xfId="0" applyFont="1" applyFill="1"/>
    <xf numFmtId="0" fontId="117" fillId="6" borderId="0" xfId="0" applyFont="1" applyFill="1"/>
    <xf numFmtId="10" fontId="109" fillId="6" borderId="0" xfId="0" applyNumberFormat="1" applyFont="1" applyFill="1"/>
    <xf numFmtId="44" fontId="115" fillId="6" borderId="0" xfId="96" applyFont="1" applyFill="1" applyBorder="1"/>
    <xf numFmtId="0" fontId="121" fillId="6" borderId="0" xfId="0" applyFont="1" applyFill="1"/>
    <xf numFmtId="44" fontId="110" fillId="6" borderId="0" xfId="96" applyFont="1" applyFill="1" applyBorder="1"/>
    <xf numFmtId="0" fontId="119" fillId="0" borderId="0" xfId="0" applyFont="1"/>
    <xf numFmtId="37" fontId="115" fillId="6" borderId="0" xfId="96" applyNumberFormat="1" applyFont="1" applyFill="1" applyBorder="1" applyAlignment="1">
      <alignment horizontal="right"/>
    </xf>
    <xf numFmtId="37" fontId="110" fillId="6" borderId="0" xfId="96" applyNumberFormat="1" applyFont="1" applyFill="1" applyBorder="1" applyAlignment="1">
      <alignment horizontal="right"/>
    </xf>
    <xf numFmtId="2" fontId="115" fillId="6" borderId="0" xfId="0" applyNumberFormat="1" applyFont="1" applyFill="1"/>
    <xf numFmtId="2" fontId="110" fillId="6" borderId="0" xfId="0" applyNumberFormat="1" applyFont="1" applyFill="1"/>
    <xf numFmtId="2" fontId="110" fillId="6" borderId="0" xfId="96" applyNumberFormat="1" applyFont="1" applyFill="1" applyBorder="1" applyAlignment="1">
      <alignment horizontal="right"/>
    </xf>
    <xf numFmtId="10" fontId="115" fillId="6" borderId="0" xfId="96" applyNumberFormat="1" applyFont="1" applyFill="1" applyBorder="1" applyAlignment="1">
      <alignment horizontal="right"/>
    </xf>
    <xf numFmtId="10" fontId="115" fillId="6" borderId="0" xfId="0" applyNumberFormat="1" applyFont="1" applyFill="1"/>
    <xf numFmtId="10" fontId="110" fillId="6" borderId="0" xfId="96" applyNumberFormat="1" applyFont="1" applyFill="1" applyBorder="1" applyAlignment="1">
      <alignment horizontal="right"/>
    </xf>
    <xf numFmtId="10" fontId="110" fillId="6" borderId="0" xfId="0" applyNumberFormat="1" applyFont="1" applyFill="1"/>
    <xf numFmtId="0" fontId="115" fillId="6" borderId="0" xfId="0" applyFont="1" applyFill="1" applyAlignment="1">
      <alignment horizontal="center"/>
    </xf>
    <xf numFmtId="0" fontId="123" fillId="6" borderId="0" xfId="0" applyFont="1" applyFill="1"/>
    <xf numFmtId="49" fontId="115" fillId="6" borderId="0" xfId="816" applyNumberFormat="1" applyFont="1" applyFill="1" applyBorder="1" applyAlignment="1" applyProtection="1">
      <alignment horizontal="left"/>
    </xf>
    <xf numFmtId="0" fontId="115" fillId="6" borderId="0" xfId="816" applyFont="1" applyFill="1" applyBorder="1" applyAlignment="1" applyProtection="1">
      <alignment horizontal="left"/>
    </xf>
    <xf numFmtId="0" fontId="115" fillId="6" borderId="0" xfId="816" applyFont="1" applyFill="1" applyBorder="1" applyAlignment="1" applyProtection="1"/>
    <xf numFmtId="166" fontId="115" fillId="6" borderId="0" xfId="816" applyNumberFormat="1" applyFont="1" applyFill="1" applyBorder="1" applyAlignment="1" applyProtection="1">
      <alignment horizontal="left"/>
    </xf>
    <xf numFmtId="10" fontId="115" fillId="6" borderId="0" xfId="816" applyNumberFormat="1" applyFont="1" applyFill="1" applyBorder="1" applyAlignment="1" applyProtection="1">
      <alignment horizontal="left"/>
    </xf>
    <xf numFmtId="9" fontId="118" fillId="6" borderId="0" xfId="718" applyFont="1" applyFill="1" applyBorder="1" applyAlignment="1">
      <alignment horizontal="left"/>
    </xf>
    <xf numFmtId="0" fontId="124" fillId="0" borderId="0" xfId="0" applyFont="1" applyAlignment="1">
      <alignment horizontal="left" vertical="center" indent="1"/>
    </xf>
    <xf numFmtId="0" fontId="127" fillId="0" borderId="0" xfId="0" applyFont="1"/>
    <xf numFmtId="0" fontId="129" fillId="0" borderId="0" xfId="0" applyFont="1"/>
    <xf numFmtId="0" fontId="129" fillId="0" borderId="0" xfId="0" applyFont="1" applyAlignment="1">
      <alignment horizontal="right"/>
    </xf>
    <xf numFmtId="0" fontId="129" fillId="0" borderId="0" xfId="0" applyFont="1" applyAlignment="1">
      <alignment horizontal="left" vertical="center" indent="1"/>
    </xf>
    <xf numFmtId="0" fontId="126" fillId="0" borderId="0" xfId="0" applyFont="1" applyAlignment="1">
      <alignment horizontal="right" vertical="center"/>
    </xf>
    <xf numFmtId="0" fontId="126" fillId="0" borderId="0" xfId="0" applyFont="1" applyAlignment="1">
      <alignment vertical="center"/>
    </xf>
    <xf numFmtId="0" fontId="126" fillId="0" borderId="0" xfId="0" applyFont="1" applyAlignment="1">
      <alignment wrapText="1"/>
    </xf>
    <xf numFmtId="0" fontId="126" fillId="0" borderId="0" xfId="0" applyFont="1"/>
    <xf numFmtId="0" fontId="129" fillId="0" borderId="0" xfId="0" applyFont="1" applyAlignment="1">
      <alignment horizontal="right" indent="1"/>
    </xf>
    <xf numFmtId="0" fontId="129" fillId="0" borderId="0" xfId="0" applyFont="1" applyAlignment="1">
      <alignment vertical="top"/>
    </xf>
    <xf numFmtId="0" fontId="129" fillId="0" borderId="0" xfId="0" applyFont="1" applyAlignment="1">
      <alignment horizontal="right" vertical="top" indent="1"/>
    </xf>
    <xf numFmtId="0" fontId="129" fillId="0" borderId="0" xfId="0" applyFont="1" applyAlignment="1">
      <alignment vertical="center"/>
    </xf>
    <xf numFmtId="0" fontId="120" fillId="0" borderId="0" xfId="0" applyFont="1" applyAlignment="1">
      <alignment horizontal="right" vertical="center"/>
    </xf>
    <xf numFmtId="0" fontId="120" fillId="0" borderId="0" xfId="0" applyFont="1" applyAlignment="1">
      <alignment vertical="center"/>
    </xf>
    <xf numFmtId="0" fontId="120" fillId="0" borderId="0" xfId="0" applyFont="1" applyAlignment="1">
      <alignment horizontal="center" vertical="center"/>
    </xf>
    <xf numFmtId="0" fontId="126" fillId="0" borderId="0" xfId="0" applyFont="1" applyAlignment="1">
      <alignment horizontal="center" vertical="center"/>
    </xf>
    <xf numFmtId="1" fontId="120" fillId="0" borderId="0" xfId="0" applyNumberFormat="1" applyFont="1" applyAlignment="1">
      <alignment horizontal="right" vertical="center"/>
    </xf>
    <xf numFmtId="1" fontId="126" fillId="0" borderId="0" xfId="0" applyNumberFormat="1" applyFont="1" applyAlignment="1">
      <alignment horizontal="right" vertical="center"/>
    </xf>
    <xf numFmtId="0" fontId="129" fillId="0" borderId="0" xfId="0" applyFont="1" applyAlignment="1">
      <alignment horizontal="right" vertical="center"/>
    </xf>
    <xf numFmtId="0" fontId="126" fillId="6" borderId="0" xfId="0" applyFont="1" applyFill="1"/>
    <xf numFmtId="0" fontId="132" fillId="0" borderId="0" xfId="0" applyFont="1" applyAlignment="1">
      <alignment vertical="center"/>
    </xf>
    <xf numFmtId="10" fontId="104" fillId="0" borderId="0" xfId="718" applyNumberFormat="1" applyFont="1" applyAlignment="1">
      <alignment vertical="center"/>
    </xf>
    <xf numFmtId="37" fontId="115" fillId="0" borderId="0" xfId="0" applyNumberFormat="1" applyFont="1" applyAlignment="1">
      <alignment horizontal="right" vertical="center"/>
    </xf>
    <xf numFmtId="0" fontId="110" fillId="0" borderId="0" xfId="0" applyFont="1" applyAlignment="1">
      <alignment horizontal="right"/>
    </xf>
    <xf numFmtId="0" fontId="110" fillId="0" borderId="0" xfId="0" quotePrefix="1" applyFont="1" applyAlignment="1">
      <alignment horizontal="left"/>
    </xf>
    <xf numFmtId="0" fontId="110" fillId="18" borderId="27" xfId="0" applyFont="1" applyFill="1" applyBorder="1"/>
    <xf numFmtId="0" fontId="110" fillId="18" borderId="28" xfId="0" applyFont="1" applyFill="1" applyBorder="1" applyAlignment="1">
      <alignment horizontal="right" indent="1"/>
    </xf>
    <xf numFmtId="0" fontId="110" fillId="18" borderId="28" xfId="0" applyFont="1" applyFill="1" applyBorder="1"/>
    <xf numFmtId="0" fontId="109" fillId="18" borderId="28" xfId="0" applyFont="1" applyFill="1" applyBorder="1"/>
    <xf numFmtId="10" fontId="110" fillId="0" borderId="0" xfId="0" applyNumberFormat="1" applyFont="1" applyAlignment="1">
      <alignment horizontal="right" indent="1"/>
    </xf>
    <xf numFmtId="166" fontId="110" fillId="9" borderId="0" xfId="0" applyNumberFormat="1" applyFont="1" applyFill="1"/>
    <xf numFmtId="166" fontId="104" fillId="9" borderId="0" xfId="0" applyNumberFormat="1" applyFont="1" applyFill="1"/>
    <xf numFmtId="0" fontId="110" fillId="12" borderId="0" xfId="0" applyFont="1" applyFill="1"/>
    <xf numFmtId="10" fontId="110" fillId="12" borderId="0" xfId="0" applyNumberFormat="1" applyFont="1" applyFill="1" applyAlignment="1">
      <alignment horizontal="right" indent="1"/>
    </xf>
    <xf numFmtId="166" fontId="110" fillId="12" borderId="0" xfId="0" applyNumberFormat="1" applyFont="1" applyFill="1"/>
    <xf numFmtId="166" fontId="104" fillId="12" borderId="0" xfId="0" applyNumberFormat="1" applyFont="1" applyFill="1"/>
    <xf numFmtId="0" fontId="104" fillId="9" borderId="0" xfId="0" applyFont="1" applyFill="1"/>
    <xf numFmtId="167" fontId="110" fillId="12" borderId="0" xfId="0" applyNumberFormat="1" applyFont="1" applyFill="1"/>
    <xf numFmtId="166" fontId="104" fillId="12" borderId="0" xfId="0" applyNumberFormat="1" applyFont="1" applyFill="1" applyAlignment="1">
      <alignment horizontal="right"/>
    </xf>
    <xf numFmtId="10" fontId="110" fillId="0" borderId="0" xfId="718" applyNumberFormat="1" applyFont="1"/>
    <xf numFmtId="9" fontId="110" fillId="0" borderId="0" xfId="0" applyNumberFormat="1" applyFont="1" applyAlignment="1">
      <alignment horizontal="right" indent="1"/>
    </xf>
    <xf numFmtId="0" fontId="120" fillId="0" borderId="0" xfId="0" applyFont="1"/>
    <xf numFmtId="0" fontId="120" fillId="0" borderId="0" xfId="0" applyFont="1" applyProtection="1">
      <protection hidden="1"/>
    </xf>
    <xf numFmtId="0" fontId="129" fillId="0" borderId="0" xfId="0" applyFont="1" applyAlignment="1" applyProtection="1">
      <alignment horizontal="right" indent="1"/>
      <protection hidden="1"/>
    </xf>
    <xf numFmtId="0" fontId="120" fillId="0" borderId="0" xfId="0" applyFont="1" applyAlignment="1" applyProtection="1">
      <alignment horizontal="right" indent="1"/>
      <protection hidden="1"/>
    </xf>
    <xf numFmtId="0" fontId="125" fillId="0" borderId="0" xfId="0" applyFont="1" applyAlignment="1" applyProtection="1">
      <alignment horizontal="right" indent="1"/>
      <protection hidden="1"/>
    </xf>
    <xf numFmtId="0" fontId="129" fillId="0" borderId="0" xfId="0" applyFont="1" applyAlignment="1" applyProtection="1">
      <alignment horizontal="right" vertical="center" indent="1"/>
      <protection hidden="1"/>
    </xf>
    <xf numFmtId="0" fontId="120" fillId="0" borderId="0" xfId="0" applyFont="1" applyAlignment="1" applyProtection="1">
      <alignment horizontal="right" vertical="center" indent="1"/>
      <protection hidden="1"/>
    </xf>
    <xf numFmtId="0" fontId="125" fillId="0" borderId="0" xfId="0" applyFont="1" applyAlignment="1" applyProtection="1">
      <alignment horizontal="right" vertical="center" indent="1"/>
      <protection hidden="1"/>
    </xf>
    <xf numFmtId="0" fontId="129" fillId="0" borderId="0" xfId="0" applyFont="1" applyAlignment="1" applyProtection="1">
      <alignment horizontal="right" vertical="top" indent="1"/>
      <protection hidden="1"/>
    </xf>
    <xf numFmtId="0" fontId="120" fillId="0" borderId="0" xfId="0" applyFont="1" applyAlignment="1" applyProtection="1">
      <alignment horizontal="right" vertical="top" indent="1"/>
      <protection hidden="1"/>
    </xf>
    <xf numFmtId="0" fontId="125" fillId="0" borderId="0" xfId="0" applyFont="1" applyAlignment="1" applyProtection="1">
      <alignment horizontal="right" vertical="top" indent="1"/>
      <protection hidden="1"/>
    </xf>
    <xf numFmtId="0" fontId="129" fillId="0" borderId="0" xfId="0" applyFont="1" applyProtection="1">
      <protection hidden="1"/>
    </xf>
    <xf numFmtId="0" fontId="129" fillId="0" borderId="0" xfId="0" applyFont="1" applyAlignment="1" applyProtection="1">
      <alignment horizontal="center" vertical="center"/>
      <protection hidden="1"/>
    </xf>
    <xf numFmtId="0" fontId="120" fillId="0" borderId="0" xfId="0" applyFont="1" applyAlignment="1" applyProtection="1">
      <alignment horizontal="center" vertical="center"/>
      <protection hidden="1"/>
    </xf>
    <xf numFmtId="0" fontId="129" fillId="0" borderId="0" xfId="0" applyFont="1" applyAlignment="1" applyProtection="1">
      <alignment vertical="center"/>
      <protection hidden="1"/>
    </xf>
    <xf numFmtId="0" fontId="120" fillId="0" borderId="0" xfId="0" applyFont="1" applyAlignment="1" applyProtection="1">
      <alignment vertical="center"/>
      <protection hidden="1"/>
    </xf>
    <xf numFmtId="0" fontId="135" fillId="0" borderId="0" xfId="0" applyFont="1" applyAlignment="1">
      <alignment vertical="center"/>
    </xf>
    <xf numFmtId="187" fontId="136" fillId="6" borderId="0" xfId="0" applyNumberFormat="1" applyFont="1" applyFill="1"/>
    <xf numFmtId="187" fontId="136" fillId="6" borderId="0" xfId="0" applyNumberFormat="1" applyFont="1" applyFill="1" applyAlignment="1">
      <alignment horizontal="center"/>
    </xf>
    <xf numFmtId="187" fontId="135" fillId="6" borderId="0" xfId="0" applyNumberFormat="1" applyFont="1" applyFill="1"/>
    <xf numFmtId="0" fontId="127" fillId="36" borderId="0" xfId="0" applyFont="1" applyFill="1" applyAlignment="1">
      <alignment horizontal="left" indent="1"/>
    </xf>
    <xf numFmtId="0" fontId="127" fillId="36" borderId="0" xfId="0" applyFont="1" applyFill="1" applyAlignment="1">
      <alignment horizontal="right" indent="1"/>
    </xf>
    <xf numFmtId="0" fontId="127" fillId="36" borderId="0" xfId="0" applyFont="1" applyFill="1" applyAlignment="1">
      <alignment horizontal="center"/>
    </xf>
    <xf numFmtId="0" fontId="127" fillId="36" borderId="1" xfId="0" applyFont="1" applyFill="1" applyBorder="1" applyAlignment="1">
      <alignment vertical="top"/>
    </xf>
    <xf numFmtId="0" fontId="127" fillId="36" borderId="1" xfId="0" applyFont="1" applyFill="1" applyBorder="1" applyAlignment="1">
      <alignment horizontal="center" vertical="top"/>
    </xf>
    <xf numFmtId="0" fontId="137" fillId="0" borderId="0" xfId="0" applyFont="1" applyAlignment="1" applyProtection="1">
      <alignment horizontal="left" vertical="center" indent="1"/>
      <protection hidden="1"/>
    </xf>
    <xf numFmtId="0" fontId="137" fillId="0" borderId="0" xfId="0" applyFont="1" applyAlignment="1" applyProtection="1">
      <alignment horizontal="center" vertical="center"/>
      <protection hidden="1"/>
    </xf>
    <xf numFmtId="3" fontId="137" fillId="0" borderId="0" xfId="0" applyNumberFormat="1" applyFont="1" applyAlignment="1" applyProtection="1">
      <alignment horizontal="center" vertical="center"/>
      <protection hidden="1"/>
    </xf>
    <xf numFmtId="0" fontId="135" fillId="0" borderId="0" xfId="0" applyFont="1" applyAlignment="1">
      <alignment horizontal="left" vertical="center" indent="1"/>
    </xf>
    <xf numFmtId="0" fontId="127" fillId="36" borderId="1" xfId="0" applyFont="1" applyFill="1" applyBorder="1" applyAlignment="1">
      <alignment horizontal="center" vertical="center"/>
    </xf>
    <xf numFmtId="0" fontId="110" fillId="0" borderId="0" xfId="0" applyFont="1" applyAlignment="1">
      <alignment horizontal="right" vertical="center" indent="1"/>
    </xf>
    <xf numFmtId="0" fontId="104" fillId="0" borderId="0" xfId="0" applyFont="1" applyAlignment="1">
      <alignment horizontal="center" vertical="center"/>
    </xf>
    <xf numFmtId="0" fontId="137" fillId="0" borderId="0" xfId="0" applyFont="1" applyAlignment="1">
      <alignment vertical="center"/>
    </xf>
    <xf numFmtId="168" fontId="137" fillId="6" borderId="0" xfId="718" applyNumberFormat="1" applyFont="1" applyFill="1" applyBorder="1" applyAlignment="1" applyProtection="1">
      <alignment horizontal="center" vertical="center"/>
    </xf>
    <xf numFmtId="0" fontId="137" fillId="0" borderId="0" xfId="0" applyFont="1" applyAlignment="1">
      <alignment horizontal="center" vertical="center"/>
    </xf>
    <xf numFmtId="168" fontId="137" fillId="37" borderId="1" xfId="718" applyNumberFormat="1" applyFont="1" applyFill="1" applyBorder="1" applyAlignment="1" applyProtection="1">
      <alignment horizontal="center" vertical="center"/>
    </xf>
    <xf numFmtId="0" fontId="137" fillId="0" borderId="0" xfId="0" applyFont="1" applyAlignment="1">
      <alignment horizontal="right" vertical="center" indent="1"/>
    </xf>
    <xf numFmtId="0" fontId="104" fillId="0" borderId="0" xfId="0" applyFont="1" applyAlignment="1">
      <alignment horizontal="left" vertical="center" wrapText="1" indent="1"/>
    </xf>
    <xf numFmtId="0" fontId="104" fillId="0" borderId="0" xfId="0" applyFont="1" applyAlignment="1">
      <alignment horizontal="left" vertical="top" wrapText="1"/>
    </xf>
    <xf numFmtId="0" fontId="110" fillId="0" borderId="10" xfId="0" applyFont="1" applyBorder="1" applyAlignment="1">
      <alignment horizontal="right" vertical="top"/>
    </xf>
    <xf numFmtId="0" fontId="110" fillId="0" borderId="10" xfId="0" applyFont="1" applyBorder="1" applyAlignment="1">
      <alignment horizontal="left" vertical="top" wrapText="1"/>
    </xf>
    <xf numFmtId="0" fontId="137" fillId="37" borderId="0" xfId="0" applyFont="1" applyFill="1" applyAlignment="1">
      <alignment horizontal="left" vertical="center" indent="1"/>
    </xf>
    <xf numFmtId="0" fontId="137" fillId="0" borderId="0" xfId="0" applyFont="1" applyAlignment="1">
      <alignment horizontal="left" vertical="center" indent="1"/>
    </xf>
    <xf numFmtId="0" fontId="137" fillId="0" borderId="0" xfId="0" applyFont="1" applyAlignment="1">
      <alignment horizontal="left" vertical="center" indent="2"/>
    </xf>
    <xf numFmtId="0" fontId="118" fillId="0" borderId="0" xfId="0" applyFont="1" applyAlignment="1">
      <alignment horizontal="center" vertical="center"/>
    </xf>
    <xf numFmtId="0" fontId="115" fillId="0" borderId="0" xfId="0" applyFont="1" applyAlignment="1">
      <alignment horizontal="right" vertical="center" indent="1"/>
    </xf>
    <xf numFmtId="166" fontId="115" fillId="11" borderId="23" xfId="0" applyNumberFormat="1" applyFont="1" applyFill="1" applyBorder="1" applyAlignment="1">
      <alignment horizontal="right" vertical="center" indent="1"/>
    </xf>
    <xf numFmtId="166" fontId="115" fillId="0" borderId="0" xfId="0" applyNumberFormat="1" applyFont="1" applyAlignment="1">
      <alignment horizontal="right" vertical="center" indent="1"/>
    </xf>
    <xf numFmtId="0" fontId="137" fillId="0" borderId="1" xfId="0" applyFont="1" applyBorder="1" applyAlignment="1">
      <alignment horizontal="left" vertical="center" indent="2"/>
    </xf>
    <xf numFmtId="166" fontId="110" fillId="6" borderId="0" xfId="0" applyNumberFormat="1" applyFont="1" applyFill="1" applyAlignment="1">
      <alignment horizontal="right" vertical="center" indent="1"/>
    </xf>
    <xf numFmtId="166" fontId="115" fillId="11" borderId="0" xfId="0" applyNumberFormat="1" applyFont="1" applyFill="1" applyAlignment="1">
      <alignment horizontal="right" vertical="center" indent="1"/>
    </xf>
    <xf numFmtId="0" fontId="127" fillId="36" borderId="1" xfId="0" applyFont="1" applyFill="1" applyBorder="1" applyAlignment="1">
      <alignment horizontal="left" vertical="center" indent="1"/>
    </xf>
    <xf numFmtId="166" fontId="115" fillId="0" borderId="0" xfId="718" applyNumberFormat="1" applyFont="1" applyFill="1" applyBorder="1" applyAlignment="1" applyProtection="1">
      <alignment horizontal="right" vertical="center" indent="1"/>
    </xf>
    <xf numFmtId="10" fontId="137" fillId="6" borderId="0" xfId="718" applyNumberFormat="1" applyFont="1" applyFill="1" applyBorder="1" applyAlignment="1" applyProtection="1">
      <alignment horizontal="center" vertical="center"/>
    </xf>
    <xf numFmtId="166" fontId="115" fillId="6" borderId="0" xfId="0" applyNumberFormat="1" applyFont="1" applyFill="1" applyAlignment="1">
      <alignment horizontal="right" vertical="center" indent="1"/>
    </xf>
    <xf numFmtId="166" fontId="115" fillId="0" borderId="1" xfId="0" applyNumberFormat="1" applyFont="1" applyBorder="1" applyAlignment="1">
      <alignment horizontal="right" vertical="center" indent="1"/>
    </xf>
    <xf numFmtId="166" fontId="118" fillId="0" borderId="0" xfId="0" applyNumberFormat="1" applyFont="1" applyAlignment="1">
      <alignment horizontal="right" vertical="center" indent="1"/>
    </xf>
    <xf numFmtId="10" fontId="115" fillId="0" borderId="0" xfId="718" applyNumberFormat="1" applyFont="1" applyFill="1" applyBorder="1" applyAlignment="1" applyProtection="1">
      <alignment horizontal="right" vertical="center" indent="1"/>
    </xf>
    <xf numFmtId="0" fontId="118" fillId="0" borderId="0" xfId="0" applyFont="1" applyAlignment="1">
      <alignment horizontal="left" vertical="center" wrapText="1" indent="1"/>
    </xf>
    <xf numFmtId="38" fontId="137" fillId="0" borderId="0" xfId="715" applyNumberFormat="1" applyFont="1" applyAlignment="1">
      <alignment horizontal="left" vertical="center" indent="1"/>
    </xf>
    <xf numFmtId="0" fontId="141" fillId="0" borderId="0" xfId="0" applyFont="1" applyAlignment="1">
      <alignment horizontal="left" vertical="center" indent="1"/>
    </xf>
    <xf numFmtId="166" fontId="115" fillId="11" borderId="23" xfId="718" applyNumberFormat="1" applyFont="1" applyFill="1" applyBorder="1" applyAlignment="1" applyProtection="1">
      <alignment horizontal="right" vertical="center" indent="1"/>
    </xf>
    <xf numFmtId="0" fontId="137" fillId="35" borderId="0" xfId="0" applyFont="1" applyFill="1" applyAlignment="1">
      <alignment vertical="center"/>
    </xf>
    <xf numFmtId="166" fontId="115" fillId="12" borderId="0" xfId="718" applyNumberFormat="1" applyFont="1" applyFill="1" applyBorder="1" applyAlignment="1" applyProtection="1">
      <alignment horizontal="right" vertical="center" indent="1"/>
    </xf>
    <xf numFmtId="169" fontId="115" fillId="12" borderId="1" xfId="718" applyNumberFormat="1" applyFont="1" applyFill="1" applyBorder="1" applyAlignment="1" applyProtection="1">
      <alignment horizontal="right" vertical="center" indent="1"/>
    </xf>
    <xf numFmtId="1" fontId="115" fillId="0" borderId="0" xfId="0" applyNumberFormat="1" applyFont="1" applyAlignment="1">
      <alignment horizontal="left" vertical="center" indent="1"/>
    </xf>
    <xf numFmtId="5" fontId="115" fillId="0" borderId="0" xfId="0" applyNumberFormat="1" applyFont="1" applyAlignment="1">
      <alignment horizontal="left" vertical="center" indent="1"/>
    </xf>
    <xf numFmtId="1" fontId="115" fillId="0" borderId="0" xfId="0" applyNumberFormat="1" applyFont="1" applyAlignment="1">
      <alignment horizontal="center" vertical="center"/>
    </xf>
    <xf numFmtId="0" fontId="140" fillId="0" borderId="0" xfId="0" applyFont="1" applyAlignment="1">
      <alignment vertical="center"/>
    </xf>
    <xf numFmtId="1" fontId="127" fillId="36" borderId="1" xfId="0" applyNumberFormat="1" applyFont="1" applyFill="1" applyBorder="1" applyAlignment="1">
      <alignment horizontal="center" vertical="center"/>
    </xf>
    <xf numFmtId="193" fontId="127" fillId="36" borderId="1" xfId="0" applyNumberFormat="1" applyFont="1" applyFill="1" applyBorder="1" applyAlignment="1">
      <alignment horizontal="right" vertical="center" indent="1"/>
    </xf>
    <xf numFmtId="0" fontId="139" fillId="0" borderId="0" xfId="0" applyFont="1" applyAlignment="1">
      <alignment horizontal="left" vertical="center" indent="1"/>
    </xf>
    <xf numFmtId="10" fontId="137" fillId="6" borderId="0" xfId="718" applyNumberFormat="1" applyFont="1" applyFill="1" applyBorder="1" applyAlignment="1" applyProtection="1">
      <alignment horizontal="right" vertical="center" indent="1"/>
    </xf>
    <xf numFmtId="0" fontId="137" fillId="37" borderId="23" xfId="0" applyFont="1" applyFill="1" applyBorder="1" applyAlignment="1">
      <alignment horizontal="left" vertical="center" indent="1"/>
    </xf>
    <xf numFmtId="10" fontId="137" fillId="37" borderId="23" xfId="14" applyNumberFormat="1" applyFont="1" applyFill="1" applyBorder="1" applyAlignment="1" applyProtection="1">
      <alignment horizontal="right" vertical="center" indent="1"/>
    </xf>
    <xf numFmtId="0" fontId="137" fillId="37" borderId="1" xfId="0" applyFont="1" applyFill="1" applyBorder="1" applyAlignment="1">
      <alignment horizontal="left" vertical="center" indent="1"/>
    </xf>
    <xf numFmtId="0" fontId="137" fillId="0" borderId="10" xfId="0" applyFont="1" applyBorder="1" applyAlignment="1">
      <alignment vertical="center"/>
    </xf>
    <xf numFmtId="168" fontId="139" fillId="6" borderId="10" xfId="718" applyNumberFormat="1" applyFont="1" applyFill="1" applyBorder="1" applyAlignment="1" applyProtection="1">
      <alignment horizontal="right" vertical="center" indent="1"/>
    </xf>
    <xf numFmtId="168" fontId="139" fillId="0" borderId="0" xfId="718" applyNumberFormat="1" applyFont="1" applyFill="1" applyBorder="1" applyAlignment="1" applyProtection="1">
      <alignment horizontal="right" vertical="center" indent="1"/>
    </xf>
    <xf numFmtId="168" fontId="137" fillId="6" borderId="1" xfId="718" applyNumberFormat="1" applyFont="1" applyFill="1" applyBorder="1" applyAlignment="1" applyProtection="1">
      <alignment horizontal="right" vertical="center" indent="1"/>
    </xf>
    <xf numFmtId="167" fontId="139" fillId="0" borderId="0" xfId="14" applyNumberFormat="1" applyFont="1" applyFill="1" applyBorder="1" applyAlignment="1" applyProtection="1">
      <alignment horizontal="right" vertical="center"/>
    </xf>
    <xf numFmtId="0" fontId="139" fillId="0" borderId="0" xfId="0" applyFont="1" applyAlignment="1">
      <alignment horizontal="right" vertical="center" indent="1"/>
    </xf>
    <xf numFmtId="38" fontId="110" fillId="0" borderId="0" xfId="715" applyNumberFormat="1" applyFont="1" applyAlignment="1">
      <alignment horizontal="left" vertical="center"/>
    </xf>
    <xf numFmtId="37" fontId="110" fillId="0" borderId="0" xfId="0" applyNumberFormat="1" applyFont="1" applyAlignment="1">
      <alignment horizontal="right" indent="1"/>
    </xf>
    <xf numFmtId="0" fontId="118" fillId="0" borderId="0" xfId="0" applyFont="1" applyAlignment="1">
      <alignment vertical="center"/>
    </xf>
    <xf numFmtId="0" fontId="117" fillId="0" borderId="0" xfId="0" applyFont="1" applyAlignment="1">
      <alignment horizontal="left" vertical="center" indent="1"/>
    </xf>
    <xf numFmtId="0" fontId="117" fillId="0" borderId="0" xfId="0" applyFont="1" applyAlignment="1">
      <alignment horizontal="right" vertical="center" indent="1"/>
    </xf>
    <xf numFmtId="193" fontId="127" fillId="36" borderId="1" xfId="0" applyNumberFormat="1" applyFont="1" applyFill="1" applyBorder="1" applyAlignment="1">
      <alignment horizontal="center" vertical="center"/>
    </xf>
    <xf numFmtId="0" fontId="139" fillId="0" borderId="0" xfId="0" applyFont="1" applyAlignment="1">
      <alignment horizontal="left" vertical="center" indent="2"/>
    </xf>
    <xf numFmtId="167" fontId="137" fillId="0" borderId="0" xfId="14" applyNumberFormat="1" applyFont="1" applyFill="1" applyBorder="1" applyAlignment="1">
      <alignment horizontal="center" vertical="center"/>
    </xf>
    <xf numFmtId="0" fontId="110" fillId="0" borderId="0" xfId="0" applyFont="1" applyAlignment="1">
      <alignment horizontal="right" vertical="center"/>
    </xf>
    <xf numFmtId="37" fontId="137" fillId="0" borderId="0" xfId="0" applyNumberFormat="1" applyFont="1" applyAlignment="1">
      <alignment horizontal="center" vertical="center"/>
    </xf>
    <xf numFmtId="0" fontId="137" fillId="35" borderId="0" xfId="0" applyFont="1" applyFill="1" applyAlignment="1">
      <alignment horizontal="left" vertical="center" indent="1"/>
    </xf>
    <xf numFmtId="37" fontId="137" fillId="35" borderId="0" xfId="0" applyNumberFormat="1" applyFont="1" applyFill="1" applyAlignment="1">
      <alignment horizontal="center" vertical="center"/>
    </xf>
    <xf numFmtId="185" fontId="137" fillId="0" borderId="0" xfId="14" applyNumberFormat="1" applyFont="1" applyFill="1" applyBorder="1" applyAlignment="1">
      <alignment horizontal="center" vertical="center"/>
    </xf>
    <xf numFmtId="171" fontId="137" fillId="0" borderId="0" xfId="14" applyNumberFormat="1" applyFont="1" applyFill="1" applyBorder="1" applyAlignment="1">
      <alignment horizontal="center" vertical="center"/>
    </xf>
    <xf numFmtId="0" fontId="137" fillId="37" borderId="10" xfId="0" applyFont="1" applyFill="1" applyBorder="1" applyAlignment="1">
      <alignment horizontal="left" vertical="center" indent="1"/>
    </xf>
    <xf numFmtId="37" fontId="137" fillId="37" borderId="10" xfId="0" applyNumberFormat="1" applyFont="1" applyFill="1" applyBorder="1" applyAlignment="1">
      <alignment horizontal="center" vertical="center"/>
    </xf>
    <xf numFmtId="0" fontId="137" fillId="35" borderId="1" xfId="0" applyFont="1" applyFill="1" applyBorder="1" applyAlignment="1">
      <alignment horizontal="left" vertical="center" indent="1"/>
    </xf>
    <xf numFmtId="37" fontId="137" fillId="35" borderId="1" xfId="0" applyNumberFormat="1" applyFont="1" applyFill="1" applyBorder="1" applyAlignment="1">
      <alignment horizontal="center" vertical="center"/>
    </xf>
    <xf numFmtId="37" fontId="137" fillId="37" borderId="0" xfId="0" applyNumberFormat="1" applyFont="1" applyFill="1" applyAlignment="1">
      <alignment horizontal="center" vertical="center"/>
    </xf>
    <xf numFmtId="37" fontId="137" fillId="0" borderId="0" xfId="14" applyNumberFormat="1" applyFont="1" applyFill="1" applyBorder="1" applyAlignment="1">
      <alignment horizontal="center" vertical="center"/>
    </xf>
    <xf numFmtId="37" fontId="110" fillId="0" borderId="0" xfId="0" applyNumberFormat="1" applyFont="1" applyAlignment="1">
      <alignment horizontal="right" vertical="center"/>
    </xf>
    <xf numFmtId="39" fontId="137" fillId="0" borderId="0" xfId="0" applyNumberFormat="1" applyFont="1" applyAlignment="1">
      <alignment horizontal="center" vertical="center"/>
    </xf>
    <xf numFmtId="10" fontId="137" fillId="0" borderId="0" xfId="718" applyNumberFormat="1" applyFont="1" applyFill="1" applyBorder="1" applyAlignment="1">
      <alignment horizontal="center" vertical="center"/>
    </xf>
    <xf numFmtId="10" fontId="137" fillId="0" borderId="0" xfId="718" applyNumberFormat="1" applyFont="1" applyFill="1" applyBorder="1" applyAlignment="1" applyProtection="1">
      <alignment horizontal="center" vertical="center"/>
      <protection hidden="1"/>
    </xf>
    <xf numFmtId="10" fontId="110" fillId="0" borderId="0" xfId="0" applyNumberFormat="1" applyFont="1" applyAlignment="1">
      <alignment horizontal="right" vertical="center"/>
    </xf>
    <xf numFmtId="10" fontId="110" fillId="0" borderId="0" xfId="0" applyNumberFormat="1" applyFont="1" applyAlignment="1">
      <alignment horizontal="right" vertical="center" indent="1"/>
    </xf>
    <xf numFmtId="37" fontId="110" fillId="0" borderId="0" xfId="0" applyNumberFormat="1" applyFont="1" applyAlignment="1">
      <alignment horizontal="right" vertical="center" indent="1"/>
    </xf>
    <xf numFmtId="37" fontId="110" fillId="0" borderId="26" xfId="0" applyNumberFormat="1" applyFont="1" applyBorder="1" applyAlignment="1">
      <alignment horizontal="right" indent="1"/>
    </xf>
    <xf numFmtId="0" fontId="110" fillId="0" borderId="26" xfId="0" applyFont="1" applyBorder="1" applyAlignment="1">
      <alignment horizontal="right" indent="1"/>
    </xf>
    <xf numFmtId="37" fontId="110" fillId="0" borderId="25" xfId="0" applyNumberFormat="1" applyFont="1" applyBorder="1" applyAlignment="1">
      <alignment horizontal="right" indent="1"/>
    </xf>
    <xf numFmtId="0" fontId="110" fillId="0" borderId="25" xfId="0" applyFont="1" applyBorder="1" applyAlignment="1">
      <alignment horizontal="right" indent="1"/>
    </xf>
    <xf numFmtId="0" fontId="110" fillId="12" borderId="0" xfId="0" applyFont="1" applyFill="1" applyAlignment="1">
      <alignment horizontal="right" indent="1"/>
    </xf>
    <xf numFmtId="37" fontId="110" fillId="12" borderId="0" xfId="0" applyNumberFormat="1" applyFont="1" applyFill="1" applyAlignment="1">
      <alignment horizontal="right" indent="1"/>
    </xf>
    <xf numFmtId="10" fontId="110" fillId="0" borderId="0" xfId="718" applyNumberFormat="1" applyFont="1" applyAlignment="1">
      <alignment horizontal="right" indent="1"/>
    </xf>
    <xf numFmtId="9" fontId="110" fillId="0" borderId="0" xfId="718" applyFont="1" applyAlignment="1">
      <alignment horizontal="right" indent="1"/>
    </xf>
    <xf numFmtId="3" fontId="110" fillId="0" borderId="0" xfId="0" applyNumberFormat="1" applyFont="1" applyAlignment="1">
      <alignment horizontal="right" indent="1"/>
    </xf>
    <xf numFmtId="0" fontId="104" fillId="0" borderId="0" xfId="0" applyFont="1" applyAlignment="1" applyProtection="1">
      <alignment horizontal="right" indent="1"/>
      <protection hidden="1"/>
    </xf>
    <xf numFmtId="0" fontId="110" fillId="0" borderId="0" xfId="0" applyFont="1" applyAlignment="1" applyProtection="1">
      <alignment horizontal="right" indent="1"/>
      <protection hidden="1"/>
    </xf>
    <xf numFmtId="0" fontId="104" fillId="0" borderId="0" xfId="0" applyFont="1" applyAlignment="1" applyProtection="1">
      <alignment horizontal="right" vertical="center" indent="1"/>
      <protection hidden="1"/>
    </xf>
    <xf numFmtId="0" fontId="110" fillId="0" borderId="0" xfId="0" applyFont="1" applyAlignment="1" applyProtection="1">
      <alignment horizontal="right" vertical="center" indent="1"/>
      <protection hidden="1"/>
    </xf>
    <xf numFmtId="0" fontId="104" fillId="0" borderId="0" xfId="0" applyFont="1" applyAlignment="1" applyProtection="1">
      <alignment horizontal="right" vertical="top" indent="1"/>
      <protection hidden="1"/>
    </xf>
    <xf numFmtId="0" fontId="110" fillId="0" borderId="0" xfId="0" applyFont="1" applyAlignment="1" applyProtection="1">
      <alignment horizontal="right" vertical="top" indent="1"/>
      <protection hidden="1"/>
    </xf>
    <xf numFmtId="0" fontId="104" fillId="0" borderId="0" xfId="0" applyFont="1" applyProtection="1">
      <protection hidden="1"/>
    </xf>
    <xf numFmtId="0" fontId="115" fillId="0" borderId="0" xfId="0" applyFont="1" applyAlignment="1" applyProtection="1">
      <alignment horizontal="center"/>
      <protection hidden="1"/>
    </xf>
    <xf numFmtId="0" fontId="115" fillId="0" borderId="0" xfId="0" applyFont="1" applyAlignment="1" applyProtection="1">
      <alignment horizontal="center" vertical="center"/>
      <protection hidden="1"/>
    </xf>
    <xf numFmtId="0" fontId="104" fillId="0" borderId="0" xfId="0" applyFont="1" applyAlignment="1" applyProtection="1">
      <alignment horizontal="center"/>
      <protection hidden="1"/>
    </xf>
    <xf numFmtId="0" fontId="110" fillId="0" borderId="0" xfId="0" applyFont="1" applyProtection="1">
      <protection hidden="1"/>
    </xf>
    <xf numFmtId="0" fontId="104" fillId="0" borderId="0" xfId="0" applyFont="1" applyAlignment="1" applyProtection="1">
      <alignment horizontal="center" vertical="center"/>
      <protection hidden="1"/>
    </xf>
    <xf numFmtId="0" fontId="115" fillId="0" borderId="0" xfId="0" applyFont="1" applyProtection="1">
      <protection hidden="1"/>
    </xf>
    <xf numFmtId="0" fontId="110" fillId="0" borderId="0" xfId="0" applyFont="1" applyAlignment="1" applyProtection="1">
      <alignment horizontal="center" vertical="center"/>
      <protection hidden="1"/>
    </xf>
    <xf numFmtId="0" fontId="115" fillId="0" borderId="0" xfId="0" applyFont="1" applyAlignment="1" applyProtection="1">
      <alignment horizontal="center" vertical="center" wrapText="1"/>
      <protection hidden="1"/>
    </xf>
    <xf numFmtId="166" fontId="115" fillId="0" borderId="0" xfId="0" applyNumberFormat="1" applyFont="1" applyAlignment="1" applyProtection="1">
      <alignment horizontal="right" vertical="center" indent="1"/>
      <protection hidden="1"/>
    </xf>
    <xf numFmtId="10" fontId="115" fillId="0" borderId="0" xfId="718" applyNumberFormat="1" applyFont="1" applyFill="1" applyBorder="1" applyAlignment="1" applyProtection="1">
      <alignment horizontal="right" vertical="center" indent="1"/>
      <protection hidden="1"/>
    </xf>
    <xf numFmtId="169" fontId="115" fillId="0" borderId="0" xfId="0" applyNumberFormat="1" applyFont="1" applyAlignment="1" applyProtection="1">
      <alignment horizontal="right" vertical="center" indent="1"/>
      <protection hidden="1"/>
    </xf>
    <xf numFmtId="166" fontId="115" fillId="0" borderId="0" xfId="0" applyNumberFormat="1" applyFont="1" applyAlignment="1" applyProtection="1">
      <alignment horizontal="left" vertical="center" indent="1"/>
      <protection hidden="1"/>
    </xf>
    <xf numFmtId="0" fontId="109" fillId="0" borderId="0" xfId="0" applyFont="1" applyAlignment="1">
      <alignment vertical="center"/>
    </xf>
    <xf numFmtId="0" fontId="104" fillId="0" borderId="0" xfId="0" applyFont="1" applyAlignment="1" applyProtection="1">
      <alignment vertical="center"/>
      <protection hidden="1"/>
    </xf>
    <xf numFmtId="0" fontId="115" fillId="0" borderId="0" xfId="0" applyFont="1" applyAlignment="1" applyProtection="1">
      <alignment vertical="center"/>
      <protection hidden="1"/>
    </xf>
    <xf numFmtId="0" fontId="115" fillId="0" borderId="0" xfId="0" applyFont="1" applyAlignment="1" applyProtection="1">
      <alignment horizontal="left" vertical="center" indent="1"/>
      <protection hidden="1"/>
    </xf>
    <xf numFmtId="40" fontId="104" fillId="0" borderId="0" xfId="0" applyNumberFormat="1" applyFont="1" applyAlignment="1" applyProtection="1">
      <alignment vertical="center"/>
      <protection hidden="1"/>
    </xf>
    <xf numFmtId="0" fontId="118" fillId="0" borderId="0" xfId="0" applyFont="1" applyAlignment="1" applyProtection="1">
      <alignment horizontal="left" vertical="center" indent="1"/>
      <protection hidden="1"/>
    </xf>
    <xf numFmtId="166" fontId="115" fillId="0" borderId="0" xfId="718" applyNumberFormat="1" applyFont="1" applyBorder="1" applyAlignment="1" applyProtection="1">
      <alignment horizontal="right" vertical="center" indent="1"/>
      <protection hidden="1"/>
    </xf>
    <xf numFmtId="0" fontId="115" fillId="0" borderId="10" xfId="0" applyFont="1" applyBorder="1" applyAlignment="1" applyProtection="1">
      <alignment vertical="center"/>
      <protection hidden="1"/>
    </xf>
    <xf numFmtId="1" fontId="115" fillId="0" borderId="10" xfId="0" applyNumberFormat="1" applyFont="1" applyBorder="1" applyAlignment="1" applyProtection="1">
      <alignment horizontal="right" vertical="center"/>
      <protection hidden="1"/>
    </xf>
    <xf numFmtId="0" fontId="104" fillId="0" borderId="10" xfId="0" applyFont="1" applyBorder="1" applyAlignment="1" applyProtection="1">
      <alignment vertical="center"/>
      <protection hidden="1"/>
    </xf>
    <xf numFmtId="1" fontId="115" fillId="0" borderId="0" xfId="0" applyNumberFormat="1" applyFont="1" applyAlignment="1" applyProtection="1">
      <alignment horizontal="right" vertical="center"/>
      <protection hidden="1"/>
    </xf>
    <xf numFmtId="0" fontId="110" fillId="35" borderId="0" xfId="0" applyFont="1" applyFill="1" applyAlignment="1">
      <alignment horizontal="center" vertical="center"/>
    </xf>
    <xf numFmtId="0" fontId="104" fillId="35" borderId="0" xfId="0" applyFont="1" applyFill="1" applyAlignment="1">
      <alignment vertical="center"/>
    </xf>
    <xf numFmtId="0" fontId="137" fillId="0" borderId="0" xfId="0" applyFont="1" applyAlignment="1" applyProtection="1">
      <alignment vertical="center"/>
      <protection hidden="1"/>
    </xf>
    <xf numFmtId="0" fontId="110" fillId="0" borderId="0" xfId="0" applyFont="1" applyAlignment="1" applyProtection="1">
      <alignment vertical="center"/>
      <protection hidden="1"/>
    </xf>
    <xf numFmtId="0" fontId="137" fillId="0" borderId="1" xfId="0" applyFont="1" applyBorder="1" applyAlignment="1" applyProtection="1">
      <alignment vertical="center"/>
      <protection hidden="1"/>
    </xf>
    <xf numFmtId="0" fontId="118" fillId="0" borderId="0" xfId="0" applyFont="1" applyAlignment="1" applyProtection="1">
      <alignment vertical="center"/>
      <protection hidden="1"/>
    </xf>
    <xf numFmtId="166" fontId="115" fillId="0" borderId="0" xfId="718" applyNumberFormat="1" applyFont="1" applyBorder="1" applyAlignment="1" applyProtection="1">
      <alignment vertical="center"/>
      <protection hidden="1"/>
    </xf>
    <xf numFmtId="49" fontId="137" fillId="0" borderId="0" xfId="0" applyNumberFormat="1" applyFont="1" applyAlignment="1" applyProtection="1">
      <alignment horizontal="center" vertical="center"/>
      <protection hidden="1"/>
    </xf>
    <xf numFmtId="166" fontId="137" fillId="0" borderId="0" xfId="0" applyNumberFormat="1" applyFont="1" applyAlignment="1" applyProtection="1">
      <alignment horizontal="center" vertical="center"/>
      <protection hidden="1"/>
    </xf>
    <xf numFmtId="3" fontId="137" fillId="0" borderId="1" xfId="0" applyNumberFormat="1" applyFont="1" applyBorder="1" applyAlignment="1" applyProtection="1">
      <alignment horizontal="center" vertical="center"/>
      <protection hidden="1"/>
    </xf>
    <xf numFmtId="0" fontId="137" fillId="0" borderId="1" xfId="0" applyFont="1" applyBorder="1" applyAlignment="1" applyProtection="1">
      <alignment horizontal="center" vertical="center"/>
      <protection hidden="1"/>
    </xf>
    <xf numFmtId="1" fontId="137" fillId="0" borderId="1" xfId="0" applyNumberFormat="1" applyFont="1" applyBorder="1" applyAlignment="1" applyProtection="1">
      <alignment horizontal="center" vertical="center"/>
      <protection hidden="1"/>
    </xf>
    <xf numFmtId="0" fontId="127" fillId="36" borderId="0" xfId="0" applyFont="1" applyFill="1" applyAlignment="1" applyProtection="1">
      <alignment horizontal="center" vertical="center"/>
      <protection hidden="1"/>
    </xf>
    <xf numFmtId="170" fontId="137" fillId="0" borderId="0" xfId="0" applyNumberFormat="1" applyFont="1" applyAlignment="1" applyProtection="1">
      <alignment horizontal="center" vertical="center"/>
      <protection hidden="1"/>
    </xf>
    <xf numFmtId="194" fontId="137" fillId="0" borderId="0" xfId="0" applyNumberFormat="1" applyFont="1" applyAlignment="1" applyProtection="1">
      <alignment horizontal="center" vertical="center"/>
      <protection hidden="1"/>
    </xf>
    <xf numFmtId="10" fontId="137" fillId="0" borderId="0" xfId="718" applyNumberFormat="1" applyFont="1" applyBorder="1" applyAlignment="1" applyProtection="1">
      <alignment horizontal="center" vertical="center"/>
      <protection hidden="1"/>
    </xf>
    <xf numFmtId="9" fontId="137" fillId="0" borderId="0" xfId="718" applyFont="1" applyBorder="1" applyAlignment="1" applyProtection="1">
      <alignment horizontal="center" vertical="center"/>
      <protection hidden="1"/>
    </xf>
    <xf numFmtId="166" fontId="137" fillId="0" borderId="0" xfId="718" applyNumberFormat="1" applyFont="1" applyFill="1" applyBorder="1" applyAlignment="1" applyProtection="1">
      <alignment horizontal="center" vertical="center"/>
      <protection hidden="1"/>
    </xf>
    <xf numFmtId="166" fontId="137" fillId="0" borderId="1" xfId="718" applyNumberFormat="1" applyFont="1" applyBorder="1" applyAlignment="1" applyProtection="1">
      <alignment horizontal="center" vertical="center"/>
      <protection hidden="1"/>
    </xf>
    <xf numFmtId="0" fontId="118" fillId="0" borderId="0" xfId="0" applyFont="1"/>
    <xf numFmtId="0" fontId="142" fillId="0" borderId="0" xfId="0" applyFont="1"/>
    <xf numFmtId="0" fontId="142" fillId="0" borderId="0" xfId="0" applyFont="1" applyAlignment="1">
      <alignment horizontal="left"/>
    </xf>
    <xf numFmtId="0" fontId="143" fillId="0" borderId="0" xfId="0" applyFont="1"/>
    <xf numFmtId="0" fontId="144" fillId="0" borderId="0" xfId="0" applyFont="1"/>
    <xf numFmtId="0" fontId="145" fillId="0" borderId="0" xfId="0" applyFont="1"/>
    <xf numFmtId="0" fontId="145" fillId="0" borderId="0" xfId="0" applyFont="1" applyAlignment="1">
      <alignment horizontal="right"/>
    </xf>
    <xf numFmtId="0" fontId="115" fillId="6" borderId="0" xfId="0" applyFont="1" applyFill="1" applyAlignment="1">
      <alignment vertical="center"/>
    </xf>
    <xf numFmtId="0" fontId="137" fillId="6" borderId="0" xfId="0" applyFont="1" applyFill="1" applyAlignment="1">
      <alignment horizontal="left" vertical="center"/>
    </xf>
    <xf numFmtId="0" fontId="110" fillId="6" borderId="0" xfId="0" applyFont="1" applyFill="1" applyAlignment="1">
      <alignment vertical="center"/>
    </xf>
    <xf numFmtId="0" fontId="137" fillId="0" borderId="1" xfId="0" applyFont="1" applyBorder="1" applyAlignment="1">
      <alignment horizontal="left" vertical="center"/>
    </xf>
    <xf numFmtId="0" fontId="137" fillId="0" borderId="0" xfId="0" applyFont="1"/>
    <xf numFmtId="0" fontId="115" fillId="25" borderId="0" xfId="0" applyFont="1" applyFill="1" applyAlignment="1">
      <alignment horizontal="center"/>
    </xf>
    <xf numFmtId="0" fontId="115" fillId="11" borderId="0" xfId="0" applyFont="1" applyFill="1" applyAlignment="1">
      <alignment horizontal="center"/>
    </xf>
    <xf numFmtId="0" fontId="137" fillId="0" borderId="1" xfId="0" applyFont="1" applyBorder="1" applyAlignment="1" applyProtection="1">
      <alignment horizontal="right" vertical="center" indent="1"/>
      <protection hidden="1"/>
    </xf>
    <xf numFmtId="0" fontId="137" fillId="0" borderId="1" xfId="0" applyFont="1" applyBorder="1" applyAlignment="1" applyProtection="1">
      <alignment horizontal="right" vertical="center"/>
      <protection hidden="1"/>
    </xf>
    <xf numFmtId="0" fontId="137" fillId="35" borderId="1" xfId="0" applyFont="1" applyFill="1" applyBorder="1" applyAlignment="1" applyProtection="1">
      <alignment horizontal="center" vertical="center"/>
      <protection locked="0"/>
    </xf>
    <xf numFmtId="4" fontId="137" fillId="0" borderId="0" xfId="0" applyNumberFormat="1" applyFont="1" applyAlignment="1" applyProtection="1">
      <alignment horizontal="center" vertical="center"/>
      <protection hidden="1"/>
    </xf>
    <xf numFmtId="166" fontId="137" fillId="37" borderId="0" xfId="0" applyNumberFormat="1" applyFont="1" applyFill="1" applyAlignment="1" applyProtection="1">
      <alignment horizontal="center" vertical="center"/>
      <protection hidden="1"/>
    </xf>
    <xf numFmtId="10" fontId="137" fillId="37" borderId="0" xfId="718" applyNumberFormat="1" applyFont="1" applyFill="1" applyBorder="1" applyAlignment="1" applyProtection="1">
      <alignment horizontal="center" vertical="center"/>
      <protection hidden="1"/>
    </xf>
    <xf numFmtId="4" fontId="137" fillId="37" borderId="0" xfId="0" applyNumberFormat="1" applyFont="1" applyFill="1" applyAlignment="1" applyProtection="1">
      <alignment horizontal="center" vertical="center"/>
      <protection hidden="1"/>
    </xf>
    <xf numFmtId="10" fontId="137" fillId="37" borderId="0" xfId="0" applyNumberFormat="1" applyFont="1" applyFill="1" applyAlignment="1" applyProtection="1">
      <alignment horizontal="center" vertical="center"/>
      <protection hidden="1"/>
    </xf>
    <xf numFmtId="166" fontId="137" fillId="35" borderId="0" xfId="96" applyNumberFormat="1" applyFont="1" applyFill="1" applyBorder="1" applyAlignment="1" applyProtection="1">
      <alignment horizontal="center" vertical="center"/>
      <protection hidden="1"/>
    </xf>
    <xf numFmtId="10" fontId="137" fillId="35" borderId="0" xfId="718" applyNumberFormat="1" applyFont="1" applyFill="1" applyBorder="1" applyAlignment="1" applyProtection="1">
      <alignment horizontal="center" vertical="center"/>
      <protection hidden="1"/>
    </xf>
    <xf numFmtId="10" fontId="137" fillId="35" borderId="0" xfId="718" quotePrefix="1" applyNumberFormat="1" applyFont="1" applyFill="1" applyBorder="1" applyAlignment="1" applyProtection="1">
      <alignment horizontal="center" vertical="center"/>
      <protection hidden="1"/>
    </xf>
    <xf numFmtId="10" fontId="137" fillId="35" borderId="0" xfId="0" applyNumberFormat="1" applyFont="1" applyFill="1" applyAlignment="1" applyProtection="1">
      <alignment horizontal="center" vertical="center"/>
      <protection hidden="1"/>
    </xf>
    <xf numFmtId="166" fontId="137" fillId="35" borderId="0" xfId="0" applyNumberFormat="1" applyFont="1" applyFill="1" applyAlignment="1" applyProtection="1">
      <alignment horizontal="center" vertical="center"/>
      <protection hidden="1"/>
    </xf>
    <xf numFmtId="4" fontId="137" fillId="35" borderId="0" xfId="0" applyNumberFormat="1" applyFont="1" applyFill="1" applyAlignment="1" applyProtection="1">
      <alignment horizontal="center" vertical="center"/>
      <protection hidden="1"/>
    </xf>
    <xf numFmtId="10" fontId="137" fillId="0" borderId="0" xfId="0" applyNumberFormat="1" applyFont="1" applyAlignment="1" applyProtection="1">
      <alignment horizontal="center" vertical="center"/>
      <protection hidden="1"/>
    </xf>
    <xf numFmtId="0" fontId="137" fillId="35" borderId="0" xfId="0" applyFont="1" applyFill="1" applyAlignment="1">
      <alignment horizontal="center" vertical="center"/>
    </xf>
    <xf numFmtId="0" fontId="137" fillId="0" borderId="23" xfId="0" applyFont="1" applyBorder="1" applyAlignment="1" applyProtection="1">
      <alignment horizontal="left" vertical="center" indent="1"/>
      <protection hidden="1"/>
    </xf>
    <xf numFmtId="0" fontId="137" fillId="0" borderId="23" xfId="0" applyFont="1" applyBorder="1" applyAlignment="1" applyProtection="1">
      <alignment vertical="center"/>
      <protection hidden="1"/>
    </xf>
    <xf numFmtId="0" fontId="137" fillId="0" borderId="23" xfId="0" applyFont="1" applyBorder="1" applyAlignment="1" applyProtection="1">
      <alignment horizontal="center" vertical="center"/>
      <protection hidden="1"/>
    </xf>
    <xf numFmtId="193" fontId="137" fillId="0" borderId="23" xfId="0" applyNumberFormat="1" applyFont="1" applyBorder="1" applyAlignment="1" applyProtection="1">
      <alignment horizontal="center" vertical="center"/>
      <protection hidden="1"/>
    </xf>
    <xf numFmtId="0" fontId="137" fillId="0" borderId="1" xfId="0" applyFont="1" applyBorder="1" applyAlignment="1" applyProtection="1">
      <alignment horizontal="left" vertical="center" indent="1"/>
      <protection hidden="1"/>
    </xf>
    <xf numFmtId="10" fontId="137" fillId="0" borderId="1" xfId="718" applyNumberFormat="1" applyFont="1" applyFill="1" applyBorder="1" applyAlignment="1" applyProtection="1">
      <alignment horizontal="center" vertical="center"/>
      <protection hidden="1"/>
    </xf>
    <xf numFmtId="3" fontId="137" fillId="0" borderId="23" xfId="0" applyNumberFormat="1" applyFont="1" applyBorder="1" applyAlignment="1" applyProtection="1">
      <alignment horizontal="center" vertical="center"/>
      <protection hidden="1"/>
    </xf>
    <xf numFmtId="49" fontId="137" fillId="0" borderId="23" xfId="0" applyNumberFormat="1" applyFont="1" applyBorder="1" applyAlignment="1" applyProtection="1">
      <alignment horizontal="center" vertical="center"/>
      <protection hidden="1"/>
    </xf>
    <xf numFmtId="0" fontId="137" fillId="0" borderId="0" xfId="0" applyFont="1" applyAlignment="1">
      <alignment horizontal="left" vertical="center"/>
    </xf>
    <xf numFmtId="10" fontId="137" fillId="37" borderId="23" xfId="14" applyNumberFormat="1" applyFont="1" applyFill="1" applyBorder="1" applyAlignment="1" applyProtection="1">
      <alignment horizontal="center" vertical="center"/>
    </xf>
    <xf numFmtId="168" fontId="139" fillId="6" borderId="10" xfId="718" applyNumberFormat="1" applyFont="1" applyFill="1" applyBorder="1" applyAlignment="1" applyProtection="1">
      <alignment horizontal="center" vertical="center"/>
    </xf>
    <xf numFmtId="168" fontId="137" fillId="6" borderId="1" xfId="718" applyNumberFormat="1" applyFont="1" applyFill="1" applyBorder="1" applyAlignment="1" applyProtection="1">
      <alignment horizontal="center" vertical="center"/>
    </xf>
    <xf numFmtId="167" fontId="137" fillId="0" borderId="0" xfId="14" applyNumberFormat="1" applyFont="1" applyFill="1" applyBorder="1" applyAlignment="1" applyProtection="1">
      <alignment horizontal="center" vertical="center"/>
    </xf>
    <xf numFmtId="0" fontId="137" fillId="0" borderId="10" xfId="0" applyFont="1" applyBorder="1" applyAlignment="1">
      <alignment horizontal="center" vertical="center"/>
    </xf>
    <xf numFmtId="168" fontId="137" fillId="0" borderId="0" xfId="718" applyNumberFormat="1" applyFont="1" applyBorder="1" applyAlignment="1" applyProtection="1">
      <alignment horizontal="center" vertical="center"/>
    </xf>
    <xf numFmtId="168" fontId="139" fillId="6" borderId="0" xfId="718" applyNumberFormat="1" applyFont="1" applyFill="1" applyBorder="1" applyAlignment="1" applyProtection="1">
      <alignment horizontal="center" vertical="center"/>
    </xf>
    <xf numFmtId="168" fontId="137" fillId="37" borderId="23" xfId="718" applyNumberFormat="1" applyFont="1" applyFill="1" applyBorder="1" applyAlignment="1" applyProtection="1">
      <alignment horizontal="center" vertical="center"/>
    </xf>
    <xf numFmtId="168" fontId="139" fillId="0" borderId="10" xfId="718" applyNumberFormat="1" applyFont="1" applyFill="1" applyBorder="1" applyAlignment="1" applyProtection="1">
      <alignment horizontal="center" vertical="center"/>
    </xf>
    <xf numFmtId="168" fontId="139" fillId="0" borderId="0" xfId="718" applyNumberFormat="1" applyFont="1" applyFill="1" applyBorder="1" applyAlignment="1" applyProtection="1">
      <alignment horizontal="center" vertical="center"/>
    </xf>
    <xf numFmtId="168" fontId="137" fillId="0" borderId="1" xfId="718" applyNumberFormat="1" applyFont="1" applyBorder="1" applyAlignment="1" applyProtection="1">
      <alignment horizontal="center" vertical="center"/>
    </xf>
    <xf numFmtId="193" fontId="137" fillId="0" borderId="0" xfId="0" applyNumberFormat="1" applyFont="1" applyAlignment="1" applyProtection="1">
      <alignment horizontal="center" vertical="center"/>
      <protection hidden="1"/>
    </xf>
    <xf numFmtId="0" fontId="146" fillId="9" borderId="8" xfId="0" applyFont="1" applyFill="1" applyBorder="1" applyAlignment="1" applyProtection="1">
      <alignment horizontal="center"/>
      <protection hidden="1"/>
    </xf>
    <xf numFmtId="0" fontId="127" fillId="36" borderId="0" xfId="0" applyFont="1" applyFill="1" applyAlignment="1">
      <alignment horizontal="center" vertical="center"/>
    </xf>
    <xf numFmtId="0" fontId="109" fillId="10" borderId="0" xfId="0" applyFont="1" applyFill="1" applyAlignment="1">
      <alignment horizontal="right" indent="1"/>
    </xf>
    <xf numFmtId="0" fontId="109" fillId="10" borderId="0" xfId="0" applyFont="1" applyFill="1" applyAlignment="1">
      <alignment horizontal="right" vertical="top" indent="1"/>
    </xf>
    <xf numFmtId="5" fontId="110" fillId="0" borderId="0" xfId="96" applyNumberFormat="1" applyFont="1" applyFill="1" applyBorder="1" applyAlignment="1" applyProtection="1">
      <alignment horizontal="right" vertical="center" indent="1"/>
    </xf>
    <xf numFmtId="0" fontId="110" fillId="0" borderId="0" xfId="0" applyFont="1" applyAlignment="1">
      <alignment horizontal="left" vertical="center" indent="1"/>
    </xf>
    <xf numFmtId="166" fontId="110" fillId="0" borderId="0" xfId="96" applyNumberFormat="1" applyFont="1" applyFill="1" applyBorder="1" applyAlignment="1" applyProtection="1">
      <alignment horizontal="right" vertical="center" indent="1"/>
    </xf>
    <xf numFmtId="0" fontId="147" fillId="0" borderId="0" xfId="0" applyFont="1"/>
    <xf numFmtId="0" fontId="147" fillId="0" borderId="0" xfId="0" applyFont="1" applyAlignment="1">
      <alignment horizontal="right" indent="1"/>
    </xf>
    <xf numFmtId="0" fontId="147" fillId="0" borderId="0" xfId="0" applyFont="1" applyAlignment="1">
      <alignment horizontal="center"/>
    </xf>
    <xf numFmtId="0" fontId="148" fillId="0" borderId="0" xfId="0" applyFont="1" applyAlignment="1">
      <alignment horizontal="left" vertical="center" indent="1"/>
    </xf>
    <xf numFmtId="0" fontId="147" fillId="0" borderId="0" xfId="0" applyFont="1" applyAlignment="1">
      <alignment horizontal="left"/>
    </xf>
    <xf numFmtId="0" fontId="149" fillId="0" borderId="0" xfId="0" applyFont="1" applyAlignment="1">
      <alignment horizontal="right" indent="1"/>
    </xf>
    <xf numFmtId="0" fontId="150" fillId="0" borderId="0" xfId="0" applyFont="1" applyAlignment="1">
      <alignment horizontal="center"/>
    </xf>
    <xf numFmtId="0" fontId="150" fillId="0" borderId="0" xfId="0" applyFont="1" applyAlignment="1">
      <alignment horizontal="right" indent="1"/>
    </xf>
    <xf numFmtId="0" fontId="147" fillId="0" borderId="0" xfId="0" applyFont="1" applyAlignment="1">
      <alignment vertical="center"/>
    </xf>
    <xf numFmtId="0" fontId="152" fillId="0" borderId="0" xfId="0" applyFont="1" applyAlignment="1">
      <alignment horizontal="right" vertical="center" indent="1"/>
    </xf>
    <xf numFmtId="0" fontId="153" fillId="0" borderId="0" xfId="0" applyFont="1" applyAlignment="1">
      <alignment horizontal="right" vertical="center"/>
    </xf>
    <xf numFmtId="0" fontId="147" fillId="0" borderId="0" xfId="0" applyFont="1" applyAlignment="1">
      <alignment horizontal="right" vertical="center"/>
    </xf>
    <xf numFmtId="0" fontId="147" fillId="0" borderId="0" xfId="0" applyFont="1" applyAlignment="1">
      <alignment horizontal="center" vertical="center"/>
    </xf>
    <xf numFmtId="0" fontId="147" fillId="0" borderId="0" xfId="0" applyFont="1" applyAlignment="1" applyProtection="1">
      <alignment horizontal="center" vertical="center"/>
      <protection locked="0"/>
    </xf>
    <xf numFmtId="0" fontId="152" fillId="0" borderId="0" xfId="0" applyFont="1" applyAlignment="1">
      <alignment vertical="center"/>
    </xf>
    <xf numFmtId="37" fontId="147" fillId="0" borderId="0" xfId="0" applyNumberFormat="1" applyFont="1" applyAlignment="1">
      <alignment vertical="center"/>
    </xf>
    <xf numFmtId="37" fontId="152" fillId="0" borderId="0" xfId="0" applyNumberFormat="1" applyFont="1" applyAlignment="1">
      <alignment vertical="center"/>
    </xf>
    <xf numFmtId="0" fontId="150" fillId="0" borderId="0" xfId="0" applyFont="1" applyAlignment="1">
      <alignment vertical="center"/>
    </xf>
    <xf numFmtId="0" fontId="147" fillId="0" borderId="0" xfId="0" applyFont="1" applyAlignment="1">
      <alignment horizontal="right" vertical="center" indent="1"/>
    </xf>
    <xf numFmtId="0" fontId="147" fillId="0" borderId="10" xfId="0" applyFont="1" applyBorder="1" applyAlignment="1">
      <alignment horizontal="right" vertical="center" indent="1"/>
    </xf>
    <xf numFmtId="0" fontId="147" fillId="0" borderId="1" xfId="0" applyFont="1" applyBorder="1" applyAlignment="1">
      <alignment horizontal="right" vertical="center" indent="1"/>
    </xf>
    <xf numFmtId="0" fontId="153" fillId="0" borderId="0" xfId="0" applyFont="1" applyAlignment="1">
      <alignment horizontal="right" vertical="center" indent="1"/>
    </xf>
    <xf numFmtId="0" fontId="154" fillId="0" borderId="0" xfId="0" applyFont="1" applyAlignment="1">
      <alignment horizontal="right" vertical="center" indent="1"/>
    </xf>
    <xf numFmtId="38" fontId="151" fillId="0" borderId="0" xfId="715" applyNumberFormat="1" applyFont="1" applyAlignment="1">
      <alignment vertical="center"/>
    </xf>
    <xf numFmtId="0" fontId="151" fillId="0" borderId="0" xfId="0" applyFont="1" applyAlignment="1">
      <alignment horizontal="right" vertical="center" indent="1"/>
    </xf>
    <xf numFmtId="0" fontId="151" fillId="0" borderId="0" xfId="0" applyFont="1"/>
    <xf numFmtId="0" fontId="151" fillId="0" borderId="0" xfId="0" applyFont="1" applyAlignment="1">
      <alignment horizontal="right" indent="1"/>
    </xf>
    <xf numFmtId="0" fontId="151" fillId="0" borderId="0" xfId="0" applyFont="1" applyAlignment="1">
      <alignment horizontal="center"/>
    </xf>
    <xf numFmtId="0" fontId="152" fillId="0" borderId="0" xfId="0" applyFont="1" applyAlignment="1">
      <alignment horizontal="right" indent="1"/>
    </xf>
    <xf numFmtId="0" fontId="153" fillId="0" borderId="0" xfId="0" applyFont="1"/>
    <xf numFmtId="196" fontId="147" fillId="0" borderId="0" xfId="0" applyNumberFormat="1" applyFont="1" applyAlignment="1">
      <alignment horizontal="right" indent="1"/>
    </xf>
    <xf numFmtId="0" fontId="115" fillId="0" borderId="0" xfId="0" applyFont="1" applyAlignment="1">
      <alignment horizontal="left" indent="1"/>
    </xf>
    <xf numFmtId="166" fontId="0" fillId="0" borderId="0" xfId="96" applyNumberFormat="1" applyFont="1"/>
    <xf numFmtId="169" fontId="0" fillId="0" borderId="0" xfId="0" applyNumberFormat="1"/>
    <xf numFmtId="0" fontId="4" fillId="6" borderId="16" xfId="0" applyFont="1" applyFill="1" applyBorder="1"/>
    <xf numFmtId="0" fontId="83" fillId="6" borderId="22" xfId="0" applyFont="1" applyFill="1" applyBorder="1"/>
    <xf numFmtId="166" fontId="155" fillId="0" borderId="0" xfId="0" applyNumberFormat="1" applyFont="1" applyAlignment="1">
      <alignment horizontal="right" vertical="center" indent="1"/>
    </xf>
    <xf numFmtId="166" fontId="58" fillId="39" borderId="17" xfId="820" applyNumberFormat="1" applyFont="1" applyAlignment="1" applyProtection="1">
      <alignment horizontal="left"/>
      <protection locked="0"/>
    </xf>
    <xf numFmtId="3" fontId="137" fillId="0" borderId="0" xfId="14" applyNumberFormat="1" applyFont="1" applyFill="1" applyBorder="1" applyAlignment="1" applyProtection="1">
      <alignment horizontal="center" vertical="center"/>
    </xf>
    <xf numFmtId="166" fontId="137" fillId="0" borderId="0" xfId="96" applyNumberFormat="1" applyFont="1" applyFill="1" applyBorder="1" applyAlignment="1" applyProtection="1">
      <alignment horizontal="center" vertical="center"/>
    </xf>
    <xf numFmtId="169" fontId="137" fillId="0" borderId="0" xfId="96" applyNumberFormat="1" applyFont="1" applyFill="1" applyBorder="1" applyAlignment="1" applyProtection="1">
      <alignment horizontal="center" vertical="center"/>
    </xf>
    <xf numFmtId="3" fontId="137" fillId="6" borderId="0" xfId="14" applyNumberFormat="1" applyFont="1" applyFill="1" applyBorder="1" applyAlignment="1" applyProtection="1">
      <alignment horizontal="center" vertical="center"/>
    </xf>
    <xf numFmtId="166" fontId="137" fillId="6" borderId="0" xfId="96" applyNumberFormat="1" applyFont="1" applyFill="1" applyBorder="1" applyAlignment="1" applyProtection="1">
      <alignment horizontal="center" vertical="center"/>
    </xf>
    <xf numFmtId="169" fontId="137" fillId="6" borderId="0" xfId="96" applyNumberFormat="1" applyFont="1" applyFill="1" applyBorder="1" applyAlignment="1" applyProtection="1">
      <alignment horizontal="center" vertical="center"/>
    </xf>
    <xf numFmtId="5" fontId="137" fillId="6" borderId="0" xfId="96" applyNumberFormat="1" applyFont="1" applyFill="1" applyBorder="1" applyAlignment="1" applyProtection="1">
      <alignment horizontal="center" vertical="center"/>
    </xf>
    <xf numFmtId="5" fontId="137" fillId="0" borderId="0" xfId="96" applyNumberFormat="1" applyFont="1" applyFill="1" applyBorder="1" applyAlignment="1" applyProtection="1">
      <alignment horizontal="center" vertical="center"/>
    </xf>
    <xf numFmtId="0" fontId="151" fillId="0" borderId="0" xfId="0" applyFont="1" applyAlignment="1">
      <alignment horizontal="left" vertical="center"/>
    </xf>
    <xf numFmtId="10" fontId="137" fillId="39" borderId="0" xfId="816" applyNumberFormat="1" applyFont="1" applyFill="1" applyBorder="1" applyAlignment="1" applyProtection="1">
      <alignment horizontal="center" vertical="center"/>
      <protection locked="0"/>
    </xf>
    <xf numFmtId="10" fontId="137" fillId="39" borderId="0" xfId="816" applyNumberFormat="1" applyFont="1" applyFill="1" applyBorder="1" applyAlignment="1" applyProtection="1">
      <alignment horizontal="right" vertical="center" indent="1"/>
      <protection locked="0"/>
    </xf>
    <xf numFmtId="10" fontId="137" fillId="39" borderId="1" xfId="816" applyNumberFormat="1" applyFont="1" applyFill="1" applyBorder="1" applyAlignment="1" applyProtection="1">
      <alignment horizontal="center" vertical="center"/>
      <protection locked="0"/>
    </xf>
    <xf numFmtId="10" fontId="137" fillId="39" borderId="1" xfId="816" applyNumberFormat="1" applyFont="1" applyFill="1" applyBorder="1" applyAlignment="1" applyProtection="1">
      <alignment horizontal="right" vertical="center" indent="1"/>
      <protection locked="0"/>
    </xf>
    <xf numFmtId="166" fontId="110" fillId="0" borderId="0" xfId="0" applyNumberFormat="1" applyFont="1" applyAlignment="1" applyProtection="1">
      <alignment horizontal="center" vertical="center"/>
      <protection hidden="1"/>
    </xf>
    <xf numFmtId="10" fontId="110" fillId="0" borderId="0" xfId="718" applyNumberFormat="1" applyFont="1" applyFill="1" applyBorder="1" applyAlignment="1" applyProtection="1">
      <alignment horizontal="center" vertical="center"/>
      <protection hidden="1"/>
    </xf>
    <xf numFmtId="169" fontId="110" fillId="0" borderId="0" xfId="0" applyNumberFormat="1" applyFont="1" applyAlignment="1" applyProtection="1">
      <alignment horizontal="center" vertical="center"/>
      <protection hidden="1"/>
    </xf>
    <xf numFmtId="4" fontId="110" fillId="0" borderId="0" xfId="0" applyNumberFormat="1" applyFont="1" applyAlignment="1" applyProtection="1">
      <alignment horizontal="center" vertical="center"/>
      <protection hidden="1"/>
    </xf>
    <xf numFmtId="166" fontId="110" fillId="35" borderId="0" xfId="96" applyNumberFormat="1" applyFont="1" applyFill="1" applyBorder="1" applyAlignment="1" applyProtection="1">
      <alignment horizontal="center" vertical="center"/>
      <protection hidden="1"/>
    </xf>
    <xf numFmtId="10" fontId="110" fillId="35" borderId="0" xfId="718" applyNumberFormat="1" applyFont="1" applyFill="1" applyBorder="1" applyAlignment="1" applyProtection="1">
      <alignment horizontal="center" vertical="center"/>
      <protection hidden="1"/>
    </xf>
    <xf numFmtId="10" fontId="110" fillId="35" borderId="0" xfId="718" quotePrefix="1" applyNumberFormat="1" applyFont="1" applyFill="1" applyBorder="1" applyAlignment="1" applyProtection="1">
      <alignment horizontal="center" vertical="center"/>
      <protection hidden="1"/>
    </xf>
    <xf numFmtId="169" fontId="110" fillId="35" borderId="0" xfId="0" applyNumberFormat="1" applyFont="1" applyFill="1" applyAlignment="1" applyProtection="1">
      <alignment horizontal="center" vertical="center"/>
      <protection hidden="1"/>
    </xf>
    <xf numFmtId="166" fontId="110" fillId="35" borderId="0" xfId="0" applyNumberFormat="1" applyFont="1" applyFill="1" applyAlignment="1" applyProtection="1">
      <alignment horizontal="center" vertical="center"/>
      <protection hidden="1"/>
    </xf>
    <xf numFmtId="4" fontId="110" fillId="35" borderId="0" xfId="0" applyNumberFormat="1" applyFont="1" applyFill="1" applyAlignment="1" applyProtection="1">
      <alignment horizontal="center" vertical="center"/>
      <protection hidden="1"/>
    </xf>
    <xf numFmtId="0" fontId="58" fillId="39" borderId="17" xfId="820" applyNumberFormat="1" applyFont="1" applyAlignment="1" applyProtection="1">
      <alignment horizontal="left"/>
      <protection locked="0"/>
    </xf>
    <xf numFmtId="197" fontId="58" fillId="39" borderId="17" xfId="820" applyNumberFormat="1" applyFont="1" applyAlignment="1" applyProtection="1">
      <alignment horizontal="left"/>
      <protection locked="0"/>
    </xf>
    <xf numFmtId="14" fontId="61" fillId="39" borderId="17" xfId="820" applyNumberFormat="1" applyFont="1" applyAlignment="1" applyProtection="1">
      <alignment horizontal="left"/>
      <protection locked="0"/>
    </xf>
    <xf numFmtId="0" fontId="60" fillId="39" borderId="17" xfId="820" applyFont="1" applyAlignment="1" applyProtection="1">
      <alignment horizontal="left"/>
      <protection locked="0"/>
    </xf>
    <xf numFmtId="10" fontId="60" fillId="39" borderId="17" xfId="820" applyNumberFormat="1" applyFont="1" applyAlignment="1" applyProtection="1">
      <alignment horizontal="left"/>
      <protection locked="0"/>
    </xf>
    <xf numFmtId="0" fontId="58" fillId="39" borderId="17" xfId="820" applyFont="1" applyAlignment="1" applyProtection="1">
      <alignment horizontal="left"/>
      <protection locked="0"/>
    </xf>
    <xf numFmtId="195" fontId="58" fillId="39" borderId="17" xfId="820" applyNumberFormat="1" applyFont="1" applyAlignment="1" applyProtection="1">
      <alignment horizontal="left"/>
      <protection locked="0"/>
    </xf>
    <xf numFmtId="0" fontId="61" fillId="39" borderId="11" xfId="820" applyFont="1" applyBorder="1" applyAlignment="1" applyProtection="1">
      <alignment horizontal="center"/>
    </xf>
    <xf numFmtId="0" fontId="61" fillId="39" borderId="15" xfId="820" applyFont="1" applyBorder="1" applyAlignment="1" applyProtection="1">
      <alignment horizontal="center"/>
    </xf>
    <xf numFmtId="166" fontId="61" fillId="39" borderId="56" xfId="820" applyNumberFormat="1" applyFont="1" applyBorder="1" applyAlignment="1" applyProtection="1">
      <alignment horizontal="right"/>
      <protection locked="0"/>
    </xf>
    <xf numFmtId="166" fontId="61" fillId="39" borderId="56" xfId="820" applyNumberFormat="1" applyFont="1" applyBorder="1" applyAlignment="1" applyProtection="1">
      <alignment horizontal="right" wrapText="1"/>
      <protection locked="0"/>
    </xf>
    <xf numFmtId="166" fontId="61" fillId="39" borderId="57" xfId="820" applyNumberFormat="1" applyFont="1" applyBorder="1" applyAlignment="1" applyProtection="1">
      <alignment horizontal="right"/>
      <protection locked="0"/>
    </xf>
    <xf numFmtId="0" fontId="23" fillId="39" borderId="17" xfId="820" applyFont="1" applyBorder="1" applyProtection="1">
      <protection locked="0"/>
    </xf>
    <xf numFmtId="0" fontId="0" fillId="39" borderId="17" xfId="820" applyFont="1" applyBorder="1" applyProtection="1">
      <protection locked="0"/>
    </xf>
    <xf numFmtId="0" fontId="0" fillId="39" borderId="67" xfId="820" applyFont="1" applyBorder="1" applyProtection="1">
      <protection locked="0"/>
    </xf>
    <xf numFmtId="0" fontId="23" fillId="39" borderId="67" xfId="820" applyFont="1" applyBorder="1" applyProtection="1">
      <protection locked="0"/>
    </xf>
    <xf numFmtId="0" fontId="0" fillId="39" borderId="39" xfId="820" applyFont="1" applyBorder="1" applyProtection="1">
      <protection locked="0"/>
    </xf>
    <xf numFmtId="0" fontId="0" fillId="39" borderId="21" xfId="820" applyFont="1" applyBorder="1" applyProtection="1">
      <protection locked="0"/>
    </xf>
    <xf numFmtId="0" fontId="0" fillId="39" borderId="40" xfId="820" applyFont="1" applyBorder="1" applyProtection="1">
      <protection locked="0"/>
    </xf>
    <xf numFmtId="167" fontId="0" fillId="39" borderId="44" xfId="820" applyNumberFormat="1" applyFont="1" applyBorder="1" applyAlignment="1" applyProtection="1">
      <alignment horizontal="center"/>
      <protection locked="0"/>
    </xf>
    <xf numFmtId="0" fontId="5" fillId="0" borderId="0" xfId="579"/>
    <xf numFmtId="195" fontId="76" fillId="0" borderId="0" xfId="820" applyNumberFormat="1" applyFont="1" applyFill="1" applyBorder="1" applyAlignment="1" applyProtection="1">
      <alignment horizontal="left"/>
      <protection hidden="1"/>
    </xf>
    <xf numFmtId="0" fontId="6" fillId="39" borderId="43" xfId="820" applyFont="1" applyBorder="1" applyAlignment="1" applyProtection="1">
      <protection locked="0"/>
    </xf>
    <xf numFmtId="0" fontId="6" fillId="39" borderId="42" xfId="820" quotePrefix="1" applyFont="1" applyBorder="1" applyProtection="1">
      <protection locked="0"/>
    </xf>
    <xf numFmtId="167" fontId="6" fillId="39" borderId="20" xfId="820" applyNumberFormat="1" applyFont="1" applyBorder="1" applyAlignment="1" applyProtection="1">
      <alignment horizontal="center"/>
      <protection locked="0"/>
    </xf>
    <xf numFmtId="5" fontId="6" fillId="39" borderId="20" xfId="820" applyNumberFormat="1" applyFont="1" applyBorder="1" applyProtection="1">
      <protection locked="0"/>
    </xf>
    <xf numFmtId="0" fontId="6" fillId="39" borderId="21" xfId="820" quotePrefix="1" applyFont="1" applyBorder="1" applyProtection="1">
      <protection locked="0"/>
    </xf>
    <xf numFmtId="167" fontId="6" fillId="39" borderId="17" xfId="820" applyNumberFormat="1" applyFont="1" applyBorder="1" applyAlignment="1" applyProtection="1">
      <alignment horizontal="center"/>
      <protection locked="0"/>
    </xf>
    <xf numFmtId="5" fontId="6" fillId="39" borderId="17" xfId="820" applyNumberFormat="1" applyFont="1" applyBorder="1" applyProtection="1">
      <protection locked="0"/>
    </xf>
    <xf numFmtId="174" fontId="6" fillId="39" borderId="17" xfId="820" applyNumberFormat="1" applyFont="1" applyBorder="1" applyAlignment="1" applyProtection="1">
      <alignment horizontal="center"/>
      <protection locked="0"/>
    </xf>
    <xf numFmtId="5" fontId="6" fillId="39" borderId="31" xfId="820" applyNumberFormat="1" applyFont="1" applyBorder="1" applyProtection="1">
      <protection locked="0"/>
    </xf>
    <xf numFmtId="166" fontId="6" fillId="39" borderId="44" xfId="820" applyNumberFormat="1" applyFont="1" applyBorder="1" applyAlignment="1" applyProtection="1">
      <alignment horizontal="left"/>
      <protection locked="0"/>
    </xf>
    <xf numFmtId="0" fontId="79" fillId="9" borderId="13" xfId="0" applyFont="1" applyFill="1" applyBorder="1" applyAlignment="1">
      <alignment horizontal="center"/>
    </xf>
    <xf numFmtId="0" fontId="127" fillId="36" borderId="1" xfId="0" applyFont="1" applyFill="1" applyBorder="1" applyAlignment="1">
      <alignment vertical="center"/>
    </xf>
    <xf numFmtId="0" fontId="29" fillId="0" borderId="0" xfId="0" applyFont="1" applyAlignment="1">
      <alignment horizontal="left" vertical="center" indent="1"/>
    </xf>
    <xf numFmtId="49" fontId="28" fillId="0" borderId="0" xfId="0" applyNumberFormat="1" applyFont="1" applyAlignment="1">
      <alignment horizontal="left" vertical="center" indent="1"/>
    </xf>
    <xf numFmtId="0" fontId="118" fillId="0" borderId="0" xfId="0" applyFont="1" applyAlignment="1">
      <alignment horizontal="left" vertical="center" indent="1"/>
    </xf>
    <xf numFmtId="0" fontId="56" fillId="8" borderId="65" xfId="0" applyFont="1" applyFill="1" applyBorder="1"/>
    <xf numFmtId="0" fontId="57" fillId="8" borderId="66" xfId="0" applyFont="1" applyFill="1" applyBorder="1" applyAlignment="1">
      <alignment horizontal="left"/>
    </xf>
    <xf numFmtId="0" fontId="61" fillId="9" borderId="65" xfId="0" applyFont="1" applyFill="1" applyBorder="1" applyAlignment="1">
      <alignment horizontal="center"/>
    </xf>
    <xf numFmtId="0" fontId="57" fillId="8" borderId="66" xfId="0" applyFont="1" applyFill="1" applyBorder="1" applyAlignment="1" applyProtection="1">
      <alignment horizontal="left"/>
      <protection locked="0"/>
    </xf>
    <xf numFmtId="0" fontId="67" fillId="14" borderId="65" xfId="487" applyFont="1" applyFill="1" applyBorder="1"/>
    <xf numFmtId="0" fontId="68" fillId="14" borderId="66" xfId="487" applyFont="1" applyFill="1" applyBorder="1"/>
    <xf numFmtId="0" fontId="71" fillId="0" borderId="66" xfId="487" applyFont="1" applyBorder="1"/>
    <xf numFmtId="0" fontId="5" fillId="0" borderId="66" xfId="487" applyBorder="1"/>
    <xf numFmtId="0" fontId="61" fillId="8" borderId="65" xfId="0" applyFont="1" applyFill="1" applyBorder="1"/>
    <xf numFmtId="0" fontId="61" fillId="8" borderId="66" xfId="0" applyFont="1" applyFill="1" applyBorder="1"/>
    <xf numFmtId="0" fontId="60" fillId="0" borderId="66" xfId="0" applyFont="1" applyBorder="1"/>
    <xf numFmtId="0" fontId="61" fillId="8" borderId="65" xfId="0" applyFont="1" applyFill="1" applyBorder="1" applyAlignment="1">
      <alignment horizontal="center"/>
    </xf>
    <xf numFmtId="0" fontId="107" fillId="10" borderId="33" xfId="0" applyFont="1" applyFill="1" applyBorder="1" applyAlignment="1">
      <alignment horizontal="right" vertical="top"/>
    </xf>
    <xf numFmtId="0" fontId="109" fillId="19" borderId="33" xfId="0" applyFont="1" applyFill="1" applyBorder="1" applyAlignment="1">
      <alignment horizontal="right" vertical="top" indent="1"/>
    </xf>
    <xf numFmtId="0" fontId="50" fillId="10" borderId="33" xfId="0" applyFont="1" applyFill="1" applyBorder="1" applyAlignment="1">
      <alignment horizontal="left" vertical="center" indent="1"/>
    </xf>
    <xf numFmtId="10" fontId="50" fillId="10" borderId="33" xfId="0" applyNumberFormat="1" applyFont="1" applyFill="1" applyBorder="1" applyAlignment="1">
      <alignment horizontal="right" vertical="center" indent="1"/>
    </xf>
    <xf numFmtId="0" fontId="50" fillId="10" borderId="33" xfId="0" applyFont="1" applyFill="1" applyBorder="1" applyAlignment="1">
      <alignment horizontal="right" vertical="center" indent="1"/>
    </xf>
    <xf numFmtId="14" fontId="50" fillId="10" borderId="33" xfId="0" applyNumberFormat="1" applyFont="1" applyFill="1" applyBorder="1" applyAlignment="1">
      <alignment horizontal="right" vertical="center" indent="1"/>
    </xf>
    <xf numFmtId="0" fontId="109" fillId="10" borderId="33" xfId="0" applyFont="1" applyFill="1" applyBorder="1" applyAlignment="1">
      <alignment vertical="center"/>
    </xf>
    <xf numFmtId="0" fontId="109" fillId="10" borderId="33" xfId="0" applyFont="1" applyFill="1" applyBorder="1" applyAlignment="1">
      <alignment horizontal="right" vertical="center" indent="1"/>
    </xf>
    <xf numFmtId="0" fontId="158" fillId="0" borderId="0" xfId="824" applyFont="1" applyAlignment="1">
      <alignment vertical="center"/>
    </xf>
    <xf numFmtId="0" fontId="159" fillId="0" borderId="0" xfId="824" applyFont="1"/>
    <xf numFmtId="0" fontId="160" fillId="0" borderId="0" xfId="824" applyFont="1"/>
    <xf numFmtId="0" fontId="1" fillId="0" borderId="0" xfId="824"/>
    <xf numFmtId="0" fontId="158" fillId="40" borderId="80" xfId="824" applyFont="1" applyFill="1" applyBorder="1" applyAlignment="1">
      <alignment vertical="center"/>
    </xf>
    <xf numFmtId="0" fontId="158" fillId="40" borderId="81" xfId="824" applyFont="1" applyFill="1" applyBorder="1" applyAlignment="1">
      <alignment vertical="center"/>
    </xf>
    <xf numFmtId="0" fontId="158" fillId="40" borderId="3" xfId="824" applyFont="1" applyFill="1" applyBorder="1" applyAlignment="1">
      <alignment vertical="center"/>
    </xf>
    <xf numFmtId="0" fontId="158" fillId="0" borderId="9" xfId="824" applyFont="1" applyBorder="1" applyAlignment="1">
      <alignment vertical="center"/>
    </xf>
    <xf numFmtId="0" fontId="158" fillId="0" borderId="13" xfId="824" applyFont="1" applyBorder="1" applyAlignment="1">
      <alignment vertical="center"/>
    </xf>
    <xf numFmtId="169" fontId="158" fillId="35" borderId="16" xfId="825" applyNumberFormat="1" applyFont="1" applyFill="1" applyBorder="1" applyAlignment="1">
      <alignment vertical="center"/>
    </xf>
    <xf numFmtId="166" fontId="158" fillId="35" borderId="16" xfId="825" applyNumberFormat="1" applyFont="1" applyFill="1" applyBorder="1" applyAlignment="1">
      <alignment vertical="center"/>
    </xf>
    <xf numFmtId="0" fontId="158" fillId="35" borderId="66" xfId="824" applyFont="1" applyFill="1" applyBorder="1" applyAlignment="1">
      <alignment vertical="center"/>
    </xf>
    <xf numFmtId="169" fontId="158" fillId="0" borderId="0" xfId="825" applyNumberFormat="1" applyFont="1" applyBorder="1" applyAlignment="1">
      <alignment vertical="center"/>
    </xf>
    <xf numFmtId="166" fontId="158" fillId="35" borderId="16" xfId="826" applyNumberFormat="1" applyFont="1" applyFill="1" applyBorder="1" applyAlignment="1">
      <alignment vertical="center"/>
    </xf>
    <xf numFmtId="43" fontId="158" fillId="35" borderId="16" xfId="827" applyFont="1" applyFill="1" applyBorder="1" applyAlignment="1">
      <alignment vertical="center"/>
    </xf>
    <xf numFmtId="0" fontId="31" fillId="0" borderId="0" xfId="0" applyFont="1" applyAlignment="1">
      <alignment horizontal="center"/>
    </xf>
    <xf numFmtId="0" fontId="25" fillId="9" borderId="0" xfId="193" applyFill="1"/>
    <xf numFmtId="0" fontId="115" fillId="0" borderId="0" xfId="0" applyFont="1" applyAlignment="1">
      <alignment horizontal="left" indent="67"/>
    </xf>
    <xf numFmtId="166" fontId="115" fillId="11" borderId="0" xfId="718" applyNumberFormat="1" applyFont="1" applyFill="1" applyBorder="1" applyAlignment="1" applyProtection="1">
      <alignment horizontal="right" vertical="center" indent="1"/>
    </xf>
    <xf numFmtId="169" fontId="161" fillId="0" borderId="0" xfId="824" applyNumberFormat="1" applyFont="1"/>
    <xf numFmtId="166" fontId="161" fillId="0" borderId="0" xfId="824" applyNumberFormat="1" applyFont="1"/>
    <xf numFmtId="0" fontId="115" fillId="0" borderId="0" xfId="0" applyFont="1" applyAlignment="1">
      <alignment horizontal="left" indent="68"/>
    </xf>
    <xf numFmtId="43" fontId="0" fillId="0" borderId="0" xfId="14" applyFont="1"/>
    <xf numFmtId="10" fontId="5" fillId="0" borderId="0" xfId="820" applyNumberFormat="1" applyFont="1" applyFill="1" applyBorder="1" applyAlignment="1" applyProtection="1">
      <alignment horizontal="left"/>
      <protection hidden="1"/>
    </xf>
    <xf numFmtId="188" fontId="5" fillId="0" borderId="0" xfId="820" applyNumberFormat="1" applyFont="1" applyFill="1" applyBorder="1" applyAlignment="1" applyProtection="1">
      <alignment horizontal="left"/>
      <protection hidden="1"/>
    </xf>
    <xf numFmtId="168" fontId="5" fillId="0" borderId="0" xfId="820" applyNumberFormat="1" applyFont="1" applyFill="1" applyBorder="1" applyAlignment="1" applyProtection="1">
      <alignment horizontal="left"/>
      <protection hidden="1"/>
    </xf>
    <xf numFmtId="166" fontId="76" fillId="0" borderId="0" xfId="820" applyNumberFormat="1" applyFont="1" applyFill="1" applyBorder="1" applyAlignment="1" applyProtection="1">
      <alignment horizontal="left"/>
      <protection hidden="1"/>
    </xf>
    <xf numFmtId="189" fontId="5" fillId="0" borderId="0" xfId="820" applyNumberFormat="1" applyFont="1" applyFill="1" applyBorder="1" applyAlignment="1" applyProtection="1">
      <alignment horizontal="left"/>
      <protection hidden="1"/>
    </xf>
    <xf numFmtId="10" fontId="5" fillId="0" borderId="0" xfId="820" applyNumberFormat="1" applyFont="1" applyFill="1" applyBorder="1" applyAlignment="1" applyProtection="1">
      <alignment horizontal="center"/>
      <protection hidden="1"/>
    </xf>
    <xf numFmtId="168" fontId="76" fillId="39" borderId="82" xfId="718" applyNumberFormat="1" applyFont="1" applyFill="1" applyBorder="1" applyAlignment="1" applyProtection="1">
      <alignment horizontal="left"/>
      <protection locked="0"/>
    </xf>
    <xf numFmtId="5" fontId="5" fillId="39" borderId="82" xfId="487" applyNumberFormat="1" applyFill="1" applyBorder="1" applyAlignment="1" applyProtection="1">
      <alignment horizontal="left"/>
      <protection locked="0"/>
    </xf>
    <xf numFmtId="10" fontId="58" fillId="0" borderId="79" xfId="0" applyNumberFormat="1" applyFont="1" applyBorder="1"/>
    <xf numFmtId="169" fontId="58" fillId="0" borderId="79" xfId="0" applyNumberFormat="1" applyFont="1" applyBorder="1"/>
    <xf numFmtId="166" fontId="58" fillId="0" borderId="79" xfId="0" applyNumberFormat="1" applyFont="1" applyBorder="1"/>
    <xf numFmtId="4" fontId="58" fillId="0" borderId="79" xfId="0" applyNumberFormat="1" applyFont="1" applyBorder="1"/>
    <xf numFmtId="6" fontId="58" fillId="0" borderId="79" xfId="0" applyNumberFormat="1" applyFont="1" applyBorder="1"/>
    <xf numFmtId="2" fontId="58" fillId="0" borderId="79" xfId="0" applyNumberFormat="1" applyFont="1" applyBorder="1"/>
    <xf numFmtId="167" fontId="62" fillId="13" borderId="82" xfId="14" applyNumberFormat="1" applyFont="1" applyFill="1" applyBorder="1" applyAlignment="1" applyProtection="1">
      <alignment horizontal="left"/>
      <protection locked="0"/>
    </xf>
    <xf numFmtId="0" fontId="68" fillId="14" borderId="79" xfId="487" applyFont="1" applyFill="1" applyBorder="1"/>
    <xf numFmtId="191" fontId="5" fillId="9" borderId="79" xfId="487" applyNumberFormat="1" applyFill="1" applyBorder="1" applyAlignment="1" applyProtection="1">
      <alignment horizontal="center"/>
      <protection hidden="1"/>
    </xf>
    <xf numFmtId="0" fontId="5" fillId="9" borderId="79" xfId="487" applyFill="1" applyBorder="1"/>
    <xf numFmtId="192" fontId="5" fillId="9" borderId="79" xfId="487" applyNumberFormat="1" applyFill="1" applyBorder="1" applyAlignment="1" applyProtection="1">
      <alignment horizontal="center"/>
      <protection hidden="1"/>
    </xf>
    <xf numFmtId="192" fontId="20" fillId="9" borderId="79" xfId="487" applyNumberFormat="1" applyFont="1" applyFill="1" applyBorder="1" applyAlignment="1" applyProtection="1">
      <alignment horizontal="center"/>
      <protection hidden="1"/>
    </xf>
    <xf numFmtId="192" fontId="5" fillId="0" borderId="79" xfId="487" applyNumberFormat="1" applyBorder="1" applyAlignment="1" applyProtection="1">
      <alignment horizontal="center"/>
      <protection hidden="1"/>
    </xf>
    <xf numFmtId="0" fontId="61" fillId="8" borderId="79" xfId="0" applyFont="1" applyFill="1" applyBorder="1"/>
    <xf numFmtId="0" fontId="60" fillId="0" borderId="79" xfId="0" applyFont="1" applyBorder="1"/>
    <xf numFmtId="166" fontId="6" fillId="39" borderId="82" xfId="820" applyNumberFormat="1" applyFont="1" applyBorder="1" applyProtection="1">
      <protection locked="0"/>
    </xf>
    <xf numFmtId="167" fontId="4" fillId="13" borderId="82" xfId="14" applyNumberFormat="1" applyFont="1" applyFill="1" applyBorder="1" applyAlignment="1" applyProtection="1">
      <alignment horizontal="left"/>
      <protection locked="0"/>
    </xf>
    <xf numFmtId="0" fontId="61" fillId="0" borderId="79" xfId="0" applyFont="1" applyBorder="1"/>
    <xf numFmtId="0" fontId="61" fillId="8" borderId="79" xfId="0" applyFont="1" applyFill="1" applyBorder="1" applyAlignment="1">
      <alignment horizontal="center"/>
    </xf>
    <xf numFmtId="0" fontId="137" fillId="0" borderId="79" xfId="0" applyFont="1" applyBorder="1" applyAlignment="1">
      <alignment horizontal="left" vertical="center"/>
    </xf>
    <xf numFmtId="0" fontId="157" fillId="0" borderId="79" xfId="0" applyFont="1" applyBorder="1" applyAlignment="1">
      <alignment horizontal="left" vertical="center"/>
    </xf>
    <xf numFmtId="0" fontId="157" fillId="39" borderId="82" xfId="0" applyFont="1" applyFill="1" applyBorder="1" applyAlignment="1" applyProtection="1">
      <alignment horizontal="center" vertical="center"/>
      <protection locked="0"/>
    </xf>
    <xf numFmtId="0" fontId="151" fillId="0" borderId="79" xfId="0" applyFont="1" applyBorder="1" applyAlignment="1">
      <alignment horizontal="left" vertical="center"/>
    </xf>
    <xf numFmtId="0" fontId="151" fillId="39" borderId="79" xfId="820" applyFont="1" applyBorder="1" applyAlignment="1" applyProtection="1">
      <alignment horizontal="center" vertical="center"/>
      <protection locked="0"/>
    </xf>
    <xf numFmtId="0" fontId="48" fillId="12" borderId="79" xfId="0" applyFont="1" applyFill="1" applyBorder="1" applyAlignment="1">
      <alignment horizontal="left" vertical="center" indent="1"/>
    </xf>
    <xf numFmtId="9" fontId="48" fillId="12" borderId="79" xfId="718" applyFont="1" applyFill="1" applyBorder="1" applyAlignment="1" applyProtection="1">
      <alignment horizontal="center" vertical="center"/>
    </xf>
    <xf numFmtId="166" fontId="48" fillId="12" borderId="79" xfId="0" applyNumberFormat="1" applyFont="1" applyFill="1" applyBorder="1" applyAlignment="1">
      <alignment horizontal="right" vertical="center" indent="1"/>
    </xf>
    <xf numFmtId="0" fontId="138" fillId="0" borderId="79" xfId="0" applyFont="1" applyBorder="1" applyAlignment="1">
      <alignment horizontal="left" vertical="center"/>
    </xf>
    <xf numFmtId="0" fontId="104" fillId="39" borderId="79" xfId="820" applyFont="1" applyBorder="1" applyAlignment="1" applyProtection="1">
      <alignment horizontal="center" vertical="center"/>
      <protection locked="0"/>
    </xf>
    <xf numFmtId="166" fontId="115" fillId="12" borderId="79" xfId="0" applyNumberFormat="1" applyFont="1" applyFill="1" applyBorder="1" applyAlignment="1">
      <alignment horizontal="right" vertical="center" indent="1"/>
    </xf>
    <xf numFmtId="0" fontId="137" fillId="37" borderId="79" xfId="0" applyFont="1" applyFill="1" applyBorder="1" applyAlignment="1">
      <alignment horizontal="left" vertical="center" indent="1"/>
    </xf>
    <xf numFmtId="37" fontId="137" fillId="37" borderId="79" xfId="0" applyNumberFormat="1" applyFont="1" applyFill="1" applyBorder="1" applyAlignment="1">
      <alignment horizontal="center" vertical="center"/>
    </xf>
    <xf numFmtId="0" fontId="128" fillId="0" borderId="79" xfId="0" applyFont="1" applyBorder="1" applyAlignment="1" applyProtection="1">
      <alignment horizontal="right" indent="1"/>
      <protection hidden="1"/>
    </xf>
    <xf numFmtId="0" fontId="128" fillId="0" borderId="79" xfId="0" applyFont="1" applyBorder="1" applyAlignment="1" applyProtection="1">
      <alignment horizontal="right"/>
      <protection hidden="1"/>
    </xf>
    <xf numFmtId="0" fontId="128" fillId="39" borderId="79" xfId="820" applyFont="1" applyBorder="1" applyAlignment="1" applyProtection="1">
      <alignment horizontal="center"/>
      <protection locked="0"/>
    </xf>
    <xf numFmtId="0" fontId="128" fillId="0" borderId="79" xfId="0" applyFont="1" applyBorder="1" applyAlignment="1" applyProtection="1">
      <alignment horizontal="right" vertical="center" indent="1"/>
      <protection hidden="1"/>
    </xf>
    <xf numFmtId="0" fontId="128" fillId="0" borderId="79" xfId="0" applyFont="1" applyBorder="1" applyAlignment="1" applyProtection="1">
      <alignment horizontal="right" vertical="center"/>
      <protection hidden="1"/>
    </xf>
    <xf numFmtId="0" fontId="128" fillId="39" borderId="79" xfId="820" applyFont="1" applyBorder="1" applyAlignment="1" applyProtection="1">
      <alignment horizontal="center" vertical="center"/>
      <protection locked="0"/>
    </xf>
    <xf numFmtId="0" fontId="137" fillId="0" borderId="79" xfId="0" applyFont="1" applyBorder="1" applyAlignment="1" applyProtection="1">
      <alignment horizontal="right" indent="1"/>
      <protection hidden="1"/>
    </xf>
    <xf numFmtId="0" fontId="137" fillId="0" borderId="79" xfId="0" applyFont="1" applyBorder="1" applyAlignment="1" applyProtection="1">
      <alignment horizontal="right"/>
      <protection hidden="1"/>
    </xf>
    <xf numFmtId="0" fontId="137" fillId="35" borderId="79" xfId="0" applyFont="1" applyFill="1" applyBorder="1" applyAlignment="1" applyProtection="1">
      <alignment horizontal="center"/>
      <protection locked="0"/>
    </xf>
    <xf numFmtId="0" fontId="137" fillId="39" borderId="79" xfId="820" applyBorder="1" applyAlignment="1" applyProtection="1">
      <alignment horizontal="center"/>
      <protection locked="0"/>
    </xf>
    <xf numFmtId="0" fontId="137" fillId="0" borderId="79" xfId="0" applyFont="1" applyBorder="1" applyAlignment="1" applyProtection="1">
      <alignment horizontal="right" vertical="center" indent="1"/>
      <protection hidden="1"/>
    </xf>
    <xf numFmtId="0" fontId="137" fillId="0" borderId="79" xfId="0" applyFont="1" applyBorder="1" applyAlignment="1" applyProtection="1">
      <alignment horizontal="right" vertical="center"/>
      <protection hidden="1"/>
    </xf>
    <xf numFmtId="0" fontId="137" fillId="39" borderId="79" xfId="820" applyBorder="1" applyAlignment="1" applyProtection="1">
      <alignment horizontal="center" vertical="center"/>
      <protection locked="0"/>
    </xf>
    <xf numFmtId="0" fontId="139" fillId="0" borderId="79" xfId="0" applyFont="1" applyBorder="1"/>
    <xf numFmtId="0" fontId="137" fillId="0" borderId="79" xfId="0" applyFont="1" applyBorder="1" applyAlignment="1">
      <alignment horizontal="right"/>
    </xf>
    <xf numFmtId="169" fontId="158" fillId="35" borderId="82" xfId="825" applyNumberFormat="1" applyFont="1" applyFill="1" applyBorder="1" applyAlignment="1">
      <alignment vertical="center"/>
    </xf>
    <xf numFmtId="166" fontId="158" fillId="35" borderId="82" xfId="825" applyNumberFormat="1" applyFont="1" applyFill="1" applyBorder="1" applyAlignment="1">
      <alignment vertical="center"/>
    </xf>
    <xf numFmtId="166" fontId="158" fillId="35" borderId="82" xfId="826" applyNumberFormat="1" applyFont="1" applyFill="1" applyBorder="1" applyAlignment="1">
      <alignment vertical="center"/>
    </xf>
    <xf numFmtId="43" fontId="158" fillId="35" borderId="82" xfId="827" applyFont="1" applyFill="1" applyBorder="1" applyAlignment="1">
      <alignment vertical="center"/>
    </xf>
    <xf numFmtId="0" fontId="0" fillId="39" borderId="0" xfId="820" applyFont="1" applyBorder="1" applyAlignment="1" applyProtection="1"/>
    <xf numFmtId="166" fontId="6" fillId="0" borderId="0" xfId="816" applyNumberFormat="1" applyFont="1" applyFill="1" applyBorder="1" applyAlignment="1" applyProtection="1">
      <alignment horizontal="center"/>
    </xf>
    <xf numFmtId="0" fontId="0" fillId="39" borderId="0" xfId="820" applyFont="1" applyBorder="1" applyAlignment="1" applyProtection="1">
      <alignment horizontal="center"/>
    </xf>
    <xf numFmtId="3" fontId="0" fillId="39" borderId="0" xfId="820" applyNumberFormat="1" applyFont="1" applyBorder="1" applyAlignment="1" applyProtection="1">
      <alignment horizontal="left"/>
    </xf>
    <xf numFmtId="166" fontId="0" fillId="39" borderId="0" xfId="820" applyNumberFormat="1" applyFont="1" applyBorder="1" applyAlignment="1" applyProtection="1">
      <alignment horizontal="center"/>
    </xf>
    <xf numFmtId="189" fontId="5" fillId="0" borderId="0" xfId="487" applyNumberFormat="1" applyAlignment="1" applyProtection="1">
      <alignment horizontal="left"/>
      <protection hidden="1"/>
    </xf>
    <xf numFmtId="166" fontId="5" fillId="0" borderId="0" xfId="487" applyNumberFormat="1" applyAlignment="1" applyProtection="1">
      <alignment horizontal="left"/>
      <protection hidden="1"/>
    </xf>
    <xf numFmtId="10" fontId="5" fillId="0" borderId="0" xfId="487" applyNumberFormat="1" applyAlignment="1" applyProtection="1">
      <alignment horizontal="left"/>
      <protection hidden="1"/>
    </xf>
    <xf numFmtId="5" fontId="5" fillId="0" borderId="0" xfId="487" applyNumberFormat="1" applyAlignment="1" applyProtection="1">
      <alignment horizontal="left"/>
      <protection hidden="1"/>
    </xf>
    <xf numFmtId="194" fontId="5" fillId="0" borderId="0" xfId="487" quotePrefix="1" applyNumberFormat="1" applyAlignment="1" applyProtection="1">
      <alignment horizontal="left"/>
      <protection hidden="1"/>
    </xf>
    <xf numFmtId="0" fontId="5" fillId="39" borderId="82" xfId="820" applyNumberFormat="1" applyFont="1" applyBorder="1" applyAlignment="1" applyProtection="1">
      <alignment horizontal="left"/>
      <protection locked="0"/>
    </xf>
    <xf numFmtId="10" fontId="76" fillId="39" borderId="82" xfId="820" applyNumberFormat="1" applyFont="1" applyBorder="1" applyAlignment="1" applyProtection="1">
      <alignment horizontal="left"/>
      <protection locked="0"/>
    </xf>
    <xf numFmtId="195" fontId="76" fillId="39" borderId="82" xfId="820" applyNumberFormat="1" applyFont="1" applyBorder="1" applyAlignment="1" applyProtection="1">
      <alignment horizontal="left"/>
      <protection locked="0"/>
    </xf>
    <xf numFmtId="190" fontId="5" fillId="39" borderId="82" xfId="820" applyNumberFormat="1" applyFont="1" applyBorder="1" applyAlignment="1" applyProtection="1">
      <alignment horizontal="left"/>
      <protection locked="0"/>
    </xf>
    <xf numFmtId="10" fontId="5" fillId="39" borderId="82" xfId="820" applyNumberFormat="1" applyFont="1" applyBorder="1" applyAlignment="1" applyProtection="1">
      <alignment horizontal="left"/>
      <protection locked="0"/>
    </xf>
    <xf numFmtId="0" fontId="70" fillId="0" borderId="0" xfId="487" applyFont="1" applyAlignment="1" applyProtection="1">
      <alignment horizontal="left"/>
      <protection hidden="1"/>
    </xf>
    <xf numFmtId="195" fontId="76" fillId="0" borderId="0" xfId="0" applyNumberFormat="1" applyFont="1" applyAlignment="1" applyProtection="1">
      <alignment horizontal="left"/>
      <protection hidden="1"/>
    </xf>
    <xf numFmtId="0" fontId="5" fillId="0" borderId="0" xfId="487" applyProtection="1">
      <protection hidden="1"/>
    </xf>
    <xf numFmtId="0" fontId="69" fillId="0" borderId="0" xfId="487" applyFont="1" applyProtection="1">
      <protection hidden="1"/>
    </xf>
    <xf numFmtId="2" fontId="5" fillId="0" borderId="0" xfId="487" applyNumberFormat="1" applyProtection="1">
      <protection hidden="1"/>
    </xf>
    <xf numFmtId="0" fontId="70" fillId="0" borderId="0" xfId="487" applyFont="1" applyProtection="1">
      <protection hidden="1"/>
    </xf>
    <xf numFmtId="166" fontId="58" fillId="39" borderId="17" xfId="820" applyNumberFormat="1" applyFont="1" applyAlignment="1" applyProtection="1">
      <alignment horizontal="left"/>
    </xf>
    <xf numFmtId="14" fontId="58" fillId="39" borderId="17" xfId="820" applyNumberFormat="1" applyFont="1" applyAlignment="1" applyProtection="1">
      <alignment horizontal="left"/>
    </xf>
    <xf numFmtId="10" fontId="137" fillId="39" borderId="78" xfId="820" applyNumberFormat="1" applyBorder="1" applyAlignment="1" applyProtection="1">
      <alignment horizontal="left"/>
    </xf>
    <xf numFmtId="188" fontId="5" fillId="39" borderId="17" xfId="820" applyNumberFormat="1" applyFont="1" applyAlignment="1" applyProtection="1">
      <alignment horizontal="left"/>
    </xf>
    <xf numFmtId="195" fontId="58" fillId="39" borderId="17" xfId="820" applyNumberFormat="1" applyFont="1" applyAlignment="1" applyProtection="1">
      <alignment horizontal="left"/>
    </xf>
    <xf numFmtId="0" fontId="58" fillId="39" borderId="17" xfId="820" applyNumberFormat="1" applyFont="1" applyBorder="1" applyAlignment="1" applyProtection="1">
      <alignment horizontal="left"/>
    </xf>
    <xf numFmtId="0" fontId="127" fillId="0" borderId="0" xfId="0" applyFont="1" applyAlignment="1">
      <alignment vertical="center"/>
    </xf>
    <xf numFmtId="0" fontId="115" fillId="0" borderId="0" xfId="0" applyFont="1" applyAlignment="1">
      <alignment horizontal="left" indent="69"/>
    </xf>
    <xf numFmtId="0" fontId="164" fillId="36" borderId="0" xfId="0" applyFont="1" applyFill="1" applyAlignment="1">
      <alignment horizontal="left" indent="1"/>
    </xf>
    <xf numFmtId="0" fontId="164" fillId="36" borderId="0" xfId="0" applyFont="1" applyFill="1" applyAlignment="1">
      <alignment horizontal="right" indent="1"/>
    </xf>
    <xf numFmtId="0" fontId="164" fillId="36" borderId="0" xfId="0" applyFont="1" applyFill="1" applyAlignment="1">
      <alignment horizontal="center"/>
    </xf>
    <xf numFmtId="0" fontId="164" fillId="35" borderId="0" xfId="0" applyFont="1" applyFill="1" applyAlignment="1">
      <alignment horizontal="center"/>
    </xf>
    <xf numFmtId="0" fontId="164" fillId="37" borderId="0" xfId="0" applyFont="1" applyFill="1" applyAlignment="1">
      <alignment horizontal="center"/>
    </xf>
    <xf numFmtId="0" fontId="164" fillId="36" borderId="1" xfId="0" applyFont="1" applyFill="1" applyBorder="1" applyAlignment="1">
      <alignment vertical="top"/>
    </xf>
    <xf numFmtId="0" fontId="164" fillId="36" borderId="1" xfId="0" applyFont="1" applyFill="1" applyBorder="1" applyAlignment="1">
      <alignment horizontal="center" vertical="top"/>
    </xf>
    <xf numFmtId="0" fontId="164" fillId="35" borderId="1" xfId="0" applyFont="1" applyFill="1" applyBorder="1" applyAlignment="1">
      <alignment horizontal="center" vertical="top"/>
    </xf>
    <xf numFmtId="0" fontId="164" fillId="37" borderId="1" xfId="0" applyFont="1" applyFill="1" applyBorder="1" applyAlignment="1">
      <alignment horizontal="center" vertical="top"/>
    </xf>
    <xf numFmtId="0" fontId="165" fillId="0" borderId="0" xfId="0" applyFont="1" applyAlignment="1" applyProtection="1">
      <alignment horizontal="left" vertical="center" indent="1"/>
      <protection hidden="1"/>
    </xf>
    <xf numFmtId="0" fontId="165" fillId="0" borderId="0" xfId="0" applyFont="1" applyAlignment="1" applyProtection="1">
      <alignment horizontal="center" vertical="center"/>
      <protection hidden="1"/>
    </xf>
    <xf numFmtId="3" fontId="165" fillId="0" borderId="0" xfId="0" applyNumberFormat="1" applyFont="1" applyAlignment="1" applyProtection="1">
      <alignment horizontal="center" vertical="center"/>
      <protection hidden="1"/>
    </xf>
    <xf numFmtId="0" fontId="165" fillId="0" borderId="0" xfId="0" applyFont="1" applyAlignment="1" applyProtection="1">
      <alignment horizontal="center"/>
      <protection hidden="1"/>
    </xf>
    <xf numFmtId="166" fontId="165" fillId="35" borderId="0" xfId="96" applyNumberFormat="1" applyFont="1" applyFill="1" applyBorder="1" applyAlignment="1" applyProtection="1">
      <alignment horizontal="center" vertical="center"/>
      <protection hidden="1"/>
    </xf>
    <xf numFmtId="169" fontId="165" fillId="35" borderId="0" xfId="96" applyNumberFormat="1" applyFont="1" applyFill="1" applyBorder="1" applyAlignment="1" applyProtection="1">
      <alignment horizontal="center" vertical="center"/>
      <protection hidden="1"/>
    </xf>
    <xf numFmtId="166" fontId="165" fillId="37" borderId="0" xfId="96" applyNumberFormat="1" applyFont="1" applyFill="1" applyBorder="1" applyAlignment="1" applyProtection="1">
      <alignment horizontal="center" vertical="center"/>
      <protection hidden="1"/>
    </xf>
    <xf numFmtId="169" fontId="165" fillId="37" borderId="0" xfId="96" applyNumberFormat="1" applyFont="1" applyFill="1" applyBorder="1" applyAlignment="1" applyProtection="1">
      <alignment horizontal="center" vertical="center"/>
      <protection hidden="1"/>
    </xf>
    <xf numFmtId="166" fontId="165" fillId="0" borderId="0" xfId="96" applyNumberFormat="1" applyFont="1" applyFill="1" applyBorder="1" applyAlignment="1" applyProtection="1">
      <alignment horizontal="center" vertical="center"/>
      <protection hidden="1"/>
    </xf>
    <xf numFmtId="169" fontId="165" fillId="0" borderId="0" xfId="96" applyNumberFormat="1" applyFont="1" applyFill="1" applyBorder="1" applyAlignment="1" applyProtection="1">
      <alignment horizontal="center" vertical="center"/>
      <protection hidden="1"/>
    </xf>
    <xf numFmtId="0" fontId="165" fillId="6" borderId="0" xfId="0" applyFont="1" applyFill="1" applyAlignment="1" applyProtection="1">
      <alignment horizontal="center" vertical="center"/>
      <protection hidden="1"/>
    </xf>
    <xf numFmtId="3" fontId="165" fillId="6" borderId="0" xfId="0" applyNumberFormat="1" applyFont="1" applyFill="1" applyAlignment="1" applyProtection="1">
      <alignment horizontal="center" vertical="center"/>
      <protection hidden="1"/>
    </xf>
    <xf numFmtId="166" fontId="165" fillId="6" borderId="0" xfId="96" applyNumberFormat="1" applyFont="1" applyFill="1" applyBorder="1" applyAlignment="1" applyProtection="1">
      <alignment horizontal="center" vertical="center"/>
      <protection hidden="1"/>
    </xf>
    <xf numFmtId="0" fontId="165" fillId="0" borderId="0" xfId="0" applyFont="1" applyAlignment="1" applyProtection="1">
      <alignment horizontal="left" vertical="center" wrapText="1" indent="1"/>
      <protection hidden="1"/>
    </xf>
    <xf numFmtId="0" fontId="165" fillId="6" borderId="33" xfId="0" applyFont="1" applyFill="1" applyBorder="1" applyAlignment="1" applyProtection="1">
      <alignment horizontal="center" vertical="center"/>
      <protection hidden="1"/>
    </xf>
    <xf numFmtId="166" fontId="165" fillId="35" borderId="33" xfId="96" applyNumberFormat="1" applyFont="1" applyFill="1" applyBorder="1" applyAlignment="1" applyProtection="1">
      <alignment horizontal="center" vertical="center"/>
      <protection hidden="1"/>
    </xf>
    <xf numFmtId="166" fontId="165" fillId="37" borderId="33" xfId="96" applyNumberFormat="1" applyFont="1" applyFill="1" applyBorder="1" applyAlignment="1" applyProtection="1">
      <alignment horizontal="center" vertical="center"/>
      <protection hidden="1"/>
    </xf>
    <xf numFmtId="166" fontId="165" fillId="6" borderId="33" xfId="96" applyNumberFormat="1" applyFont="1" applyFill="1" applyBorder="1" applyAlignment="1" applyProtection="1">
      <alignment horizontal="center" vertical="center"/>
      <protection hidden="1"/>
    </xf>
    <xf numFmtId="169" fontId="165" fillId="0" borderId="33" xfId="96" applyNumberFormat="1" applyFont="1" applyFill="1" applyBorder="1" applyAlignment="1" applyProtection="1">
      <alignment horizontal="center" vertical="center"/>
      <protection hidden="1"/>
    </xf>
    <xf numFmtId="166" fontId="165" fillId="0" borderId="33" xfId="96" applyNumberFormat="1" applyFont="1" applyFill="1" applyBorder="1" applyAlignment="1" applyProtection="1">
      <alignment horizontal="center" vertical="center"/>
      <protection hidden="1"/>
    </xf>
    <xf numFmtId="0" fontId="165" fillId="12" borderId="24" xfId="0" applyFont="1" applyFill="1" applyBorder="1" applyAlignment="1">
      <alignment horizontal="left" vertical="center" indent="1"/>
    </xf>
    <xf numFmtId="0" fontId="165" fillId="12" borderId="24" xfId="0" applyFont="1" applyFill="1" applyBorder="1" applyAlignment="1">
      <alignment horizontal="center" vertical="center"/>
    </xf>
    <xf numFmtId="3" fontId="165" fillId="12" borderId="24" xfId="0" applyNumberFormat="1" applyFont="1" applyFill="1" applyBorder="1" applyAlignment="1">
      <alignment horizontal="center" vertical="center"/>
    </xf>
    <xf numFmtId="166" fontId="165" fillId="37" borderId="24" xfId="0" applyNumberFormat="1" applyFont="1" applyFill="1" applyBorder="1" applyAlignment="1">
      <alignment horizontal="center" vertical="center"/>
    </xf>
    <xf numFmtId="169" fontId="165" fillId="37" borderId="24" xfId="0" applyNumberFormat="1" applyFont="1" applyFill="1" applyBorder="1" applyAlignment="1">
      <alignment horizontal="center" vertical="center"/>
    </xf>
    <xf numFmtId="166" fontId="165" fillId="12" borderId="24" xfId="0" applyNumberFormat="1" applyFont="1" applyFill="1" applyBorder="1" applyAlignment="1">
      <alignment horizontal="center" vertical="center"/>
    </xf>
    <xf numFmtId="169" fontId="165" fillId="12" borderId="24" xfId="0" applyNumberFormat="1" applyFont="1" applyFill="1" applyBorder="1" applyAlignment="1">
      <alignment horizontal="center" vertical="center"/>
    </xf>
    <xf numFmtId="0" fontId="112" fillId="0" borderId="0" xfId="0" applyFont="1" applyAlignment="1">
      <alignment wrapText="1"/>
    </xf>
    <xf numFmtId="167" fontId="112" fillId="0" borderId="0" xfId="14" applyNumberFormat="1" applyFont="1" applyFill="1" applyBorder="1" applyProtection="1"/>
    <xf numFmtId="167" fontId="112" fillId="0" borderId="0" xfId="14" applyNumberFormat="1" applyFont="1" applyFill="1" applyBorder="1" applyAlignment="1" applyProtection="1">
      <alignment horizontal="center"/>
    </xf>
    <xf numFmtId="5" fontId="112" fillId="0" borderId="0" xfId="96" applyNumberFormat="1" applyFont="1" applyFill="1" applyBorder="1" applyProtection="1"/>
    <xf numFmtId="7" fontId="112" fillId="0" borderId="0" xfId="96" applyNumberFormat="1" applyFont="1" applyFill="1" applyBorder="1" applyProtection="1"/>
    <xf numFmtId="166" fontId="112" fillId="0" borderId="0" xfId="0" applyNumberFormat="1" applyFont="1"/>
    <xf numFmtId="0" fontId="165" fillId="12" borderId="24" xfId="0" applyFont="1" applyFill="1" applyBorder="1" applyAlignment="1">
      <alignment horizontal="right" vertical="center" indent="1"/>
    </xf>
    <xf numFmtId="3" fontId="165" fillId="12" borderId="24" xfId="0" applyNumberFormat="1" applyFont="1" applyFill="1" applyBorder="1" applyAlignment="1">
      <alignment horizontal="right" vertical="center" indent="1"/>
    </xf>
    <xf numFmtId="166" fontId="165" fillId="12" borderId="24" xfId="0" applyNumberFormat="1" applyFont="1" applyFill="1" applyBorder="1" applyAlignment="1">
      <alignment vertical="center"/>
    </xf>
    <xf numFmtId="166" fontId="165" fillId="12" borderId="24" xfId="0" applyNumberFormat="1" applyFont="1" applyFill="1" applyBorder="1" applyAlignment="1">
      <alignment horizontal="right" vertical="center" indent="1"/>
    </xf>
    <xf numFmtId="0" fontId="162" fillId="36" borderId="1" xfId="0" applyFont="1" applyFill="1" applyBorder="1" applyAlignment="1">
      <alignment vertical="center"/>
    </xf>
    <xf numFmtId="0" fontId="107" fillId="36" borderId="1" xfId="0" applyFont="1" applyFill="1" applyBorder="1" applyAlignment="1">
      <alignment vertical="center"/>
    </xf>
    <xf numFmtId="0" fontId="108" fillId="36" borderId="39" xfId="14" applyNumberFormat="1" applyFont="1" applyFill="1" applyBorder="1" applyAlignment="1" applyProtection="1">
      <alignment horizontal="right" vertical="center"/>
      <protection locked="0"/>
    </xf>
    <xf numFmtId="0" fontId="166" fillId="36" borderId="1" xfId="0" applyFont="1" applyFill="1" applyBorder="1" applyAlignment="1">
      <alignment horizontal="center" vertical="center"/>
    </xf>
    <xf numFmtId="0" fontId="162" fillId="36" borderId="39" xfId="14" applyNumberFormat="1" applyFont="1" applyFill="1" applyBorder="1" applyAlignment="1" applyProtection="1">
      <alignment horizontal="center" vertical="center"/>
      <protection locked="0"/>
    </xf>
    <xf numFmtId="0" fontId="162" fillId="36" borderId="39" xfId="14" applyNumberFormat="1" applyFont="1" applyFill="1" applyBorder="1" applyAlignment="1" applyProtection="1">
      <alignment horizontal="right" vertical="center"/>
      <protection locked="0"/>
    </xf>
    <xf numFmtId="0" fontId="162" fillId="36" borderId="1" xfId="0" applyFont="1" applyFill="1" applyBorder="1" applyAlignment="1">
      <alignment horizontal="center" vertical="center"/>
    </xf>
    <xf numFmtId="43" fontId="162" fillId="36" borderId="1" xfId="14" applyFont="1" applyFill="1" applyBorder="1" applyAlignment="1" applyProtection="1">
      <alignment horizontal="center" vertical="center"/>
    </xf>
    <xf numFmtId="0" fontId="162" fillId="0" borderId="0" xfId="0" applyFont="1" applyAlignment="1">
      <alignment vertical="center"/>
    </xf>
    <xf numFmtId="0" fontId="167" fillId="0" borderId="0" xfId="0" applyFont="1" applyAlignment="1">
      <alignment vertical="center"/>
    </xf>
    <xf numFmtId="167" fontId="167" fillId="0" borderId="0" xfId="14" applyNumberFormat="1" applyFont="1" applyFill="1" applyBorder="1" applyAlignment="1" applyProtection="1">
      <alignment horizontal="right" vertical="center" indent="1"/>
    </xf>
    <xf numFmtId="167" fontId="167" fillId="0" borderId="0" xfId="14" applyNumberFormat="1" applyFont="1" applyFill="1" applyBorder="1" applyAlignment="1" applyProtection="1">
      <alignment horizontal="center" vertical="center"/>
    </xf>
    <xf numFmtId="167" fontId="167" fillId="0" borderId="0" xfId="14" applyNumberFormat="1" applyFont="1" applyFill="1" applyBorder="1" applyAlignment="1" applyProtection="1">
      <alignment vertical="center"/>
    </xf>
    <xf numFmtId="0" fontId="167" fillId="0" borderId="0" xfId="0" applyFont="1" applyAlignment="1">
      <alignment horizontal="center" vertical="center"/>
    </xf>
    <xf numFmtId="0" fontId="163" fillId="6" borderId="0" xfId="0" applyFont="1" applyFill="1" applyAlignment="1">
      <alignment vertical="center"/>
    </xf>
    <xf numFmtId="0" fontId="163" fillId="0" borderId="0" xfId="0" applyFont="1" applyAlignment="1">
      <alignment vertical="center"/>
    </xf>
    <xf numFmtId="37" fontId="163" fillId="39" borderId="0" xfId="816" applyNumberFormat="1" applyFont="1" applyFill="1" applyBorder="1" applyAlignment="1" applyProtection="1">
      <alignment horizontal="right" vertical="center"/>
      <protection locked="0"/>
    </xf>
    <xf numFmtId="37" fontId="163" fillId="6" borderId="0" xfId="14" applyNumberFormat="1" applyFont="1" applyFill="1" applyBorder="1" applyAlignment="1" applyProtection="1">
      <alignment horizontal="center" vertical="center"/>
    </xf>
    <xf numFmtId="37" fontId="163" fillId="6" borderId="0" xfId="14" applyNumberFormat="1" applyFont="1" applyFill="1" applyBorder="1" applyAlignment="1" applyProtection="1">
      <alignment vertical="center"/>
    </xf>
    <xf numFmtId="167" fontId="167" fillId="6" borderId="0" xfId="14" applyNumberFormat="1" applyFont="1" applyFill="1" applyBorder="1" applyAlignment="1" applyProtection="1">
      <alignment vertical="center"/>
    </xf>
    <xf numFmtId="37" fontId="163" fillId="6" borderId="0" xfId="14" applyNumberFormat="1" applyFont="1" applyFill="1" applyBorder="1" applyAlignment="1" applyProtection="1">
      <alignment horizontal="right" vertical="center"/>
    </xf>
    <xf numFmtId="186" fontId="163" fillId="39" borderId="0" xfId="820" applyNumberFormat="1" applyFont="1" applyBorder="1" applyAlignment="1" applyProtection="1">
      <alignment horizontal="center" vertical="center"/>
      <protection locked="0"/>
    </xf>
    <xf numFmtId="37" fontId="163" fillId="0" borderId="0" xfId="0" applyNumberFormat="1" applyFont="1" applyAlignment="1">
      <alignment horizontal="center" vertical="center"/>
    </xf>
    <xf numFmtId="39" fontId="163" fillId="0" borderId="0" xfId="14" applyNumberFormat="1" applyFont="1" applyFill="1" applyBorder="1" applyAlignment="1" applyProtection="1">
      <alignment horizontal="center" vertical="center"/>
    </xf>
    <xf numFmtId="168" fontId="163" fillId="6" borderId="0" xfId="14" applyNumberFormat="1" applyFont="1" applyFill="1" applyBorder="1" applyAlignment="1" applyProtection="1">
      <alignment horizontal="center" vertical="center"/>
    </xf>
    <xf numFmtId="168" fontId="163" fillId="6" borderId="0" xfId="14" applyNumberFormat="1" applyFont="1" applyFill="1" applyBorder="1" applyAlignment="1" applyProtection="1">
      <alignment vertical="center"/>
    </xf>
    <xf numFmtId="168" fontId="163" fillId="39" borderId="0" xfId="820" applyNumberFormat="1" applyFont="1" applyBorder="1" applyAlignment="1" applyProtection="1">
      <alignment vertical="center"/>
      <protection locked="0"/>
    </xf>
    <xf numFmtId="37" fontId="163" fillId="7" borderId="0" xfId="816" applyNumberFormat="1" applyFont="1" applyBorder="1" applyAlignment="1" applyProtection="1">
      <alignment horizontal="right" vertical="center"/>
      <protection locked="0"/>
    </xf>
    <xf numFmtId="0" fontId="163" fillId="34" borderId="0" xfId="0" applyFont="1" applyFill="1" applyAlignment="1">
      <alignment vertical="center"/>
    </xf>
    <xf numFmtId="0" fontId="167" fillId="34" borderId="0" xfId="0" applyFont="1" applyFill="1" applyAlignment="1">
      <alignment vertical="center"/>
    </xf>
    <xf numFmtId="37" fontId="167" fillId="38" borderId="0" xfId="820" applyNumberFormat="1" applyFont="1" applyFill="1" applyBorder="1" applyAlignment="1" applyProtection="1">
      <alignment horizontal="right" vertical="center"/>
    </xf>
    <xf numFmtId="37" fontId="163" fillId="34" borderId="0" xfId="14" applyNumberFormat="1" applyFont="1" applyFill="1" applyBorder="1" applyAlignment="1" applyProtection="1">
      <alignment horizontal="center" vertical="center"/>
    </xf>
    <xf numFmtId="37" fontId="163" fillId="34" borderId="0" xfId="14" applyNumberFormat="1" applyFont="1" applyFill="1" applyBorder="1" applyAlignment="1" applyProtection="1">
      <alignment vertical="center"/>
    </xf>
    <xf numFmtId="167" fontId="163" fillId="34" borderId="0" xfId="14" applyNumberFormat="1" applyFont="1" applyFill="1" applyBorder="1" applyAlignment="1" applyProtection="1">
      <alignment vertical="center"/>
    </xf>
    <xf numFmtId="37" fontId="163" fillId="11" borderId="0" xfId="14" applyNumberFormat="1" applyFont="1" applyFill="1" applyBorder="1" applyAlignment="1" applyProtection="1">
      <alignment horizontal="right" vertical="center"/>
    </xf>
    <xf numFmtId="37" fontId="163" fillId="34" borderId="0" xfId="0" applyNumberFormat="1" applyFont="1" applyFill="1" applyAlignment="1">
      <alignment horizontal="center" vertical="center"/>
    </xf>
    <xf numFmtId="39" fontId="163" fillId="34" borderId="0" xfId="14" applyNumberFormat="1" applyFont="1" applyFill="1" applyBorder="1" applyAlignment="1" applyProtection="1">
      <alignment horizontal="center" vertical="center"/>
    </xf>
    <xf numFmtId="168" fontId="163" fillId="6" borderId="0" xfId="718" applyNumberFormat="1" applyFont="1" applyFill="1" applyBorder="1" applyAlignment="1" applyProtection="1">
      <alignment horizontal="center" vertical="center"/>
    </xf>
    <xf numFmtId="0" fontId="163" fillId="0" borderId="0" xfId="0" applyFont="1" applyAlignment="1">
      <alignment horizontal="right" vertical="center"/>
    </xf>
    <xf numFmtId="37" fontId="163" fillId="0" borderId="0" xfId="14" applyNumberFormat="1" applyFont="1" applyFill="1" applyBorder="1" applyAlignment="1" applyProtection="1">
      <alignment horizontal="center" vertical="center"/>
    </xf>
    <xf numFmtId="0" fontId="163" fillId="0" borderId="0" xfId="0" applyFont="1" applyAlignment="1">
      <alignment horizontal="center" vertical="center"/>
    </xf>
    <xf numFmtId="37" fontId="163" fillId="0" borderId="0" xfId="14" applyNumberFormat="1" applyFont="1" applyFill="1" applyBorder="1" applyAlignment="1" applyProtection="1">
      <alignment vertical="center"/>
    </xf>
    <xf numFmtId="168" fontId="163" fillId="0" borderId="0" xfId="14" applyNumberFormat="1" applyFont="1" applyFill="1" applyBorder="1" applyAlignment="1" applyProtection="1">
      <alignment vertical="center"/>
    </xf>
    <xf numFmtId="168" fontId="163" fillId="0" borderId="0" xfId="14" applyNumberFormat="1" applyFont="1" applyFill="1" applyBorder="1" applyAlignment="1" applyProtection="1">
      <alignment horizontal="center" vertical="center"/>
    </xf>
    <xf numFmtId="37" fontId="163" fillId="39" borderId="0" xfId="820" applyNumberFormat="1" applyFont="1" applyBorder="1" applyAlignment="1" applyProtection="1">
      <alignment horizontal="right" vertical="center"/>
      <protection locked="0"/>
    </xf>
    <xf numFmtId="168" fontId="163" fillId="39" borderId="0" xfId="820" applyNumberFormat="1" applyFont="1" applyBorder="1" applyAlignment="1" applyProtection="1">
      <alignment horizontal="center" vertical="center"/>
    </xf>
    <xf numFmtId="37" fontId="163" fillId="39" borderId="0" xfId="820" applyNumberFormat="1" applyFont="1" applyBorder="1" applyAlignment="1" applyProtection="1">
      <alignment horizontal="center" vertical="center"/>
      <protection locked="0"/>
    </xf>
    <xf numFmtId="168" fontId="163" fillId="6" borderId="0" xfId="718" applyNumberFormat="1" applyFont="1" applyFill="1" applyBorder="1" applyAlignment="1" applyProtection="1">
      <alignment vertical="center"/>
    </xf>
    <xf numFmtId="37" fontId="163" fillId="6" borderId="0" xfId="0" applyNumberFormat="1" applyFont="1" applyFill="1" applyAlignment="1">
      <alignment horizontal="center" vertical="center"/>
    </xf>
    <xf numFmtId="37" fontId="163" fillId="39" borderId="1" xfId="820" applyNumberFormat="1" applyFont="1" applyBorder="1" applyAlignment="1" applyProtection="1">
      <alignment horizontal="right" vertical="center"/>
      <protection locked="0"/>
    </xf>
    <xf numFmtId="168" fontId="163" fillId="39" borderId="1" xfId="820" applyNumberFormat="1" applyFont="1" applyBorder="1" applyAlignment="1" applyProtection="1">
      <alignment horizontal="center" vertical="center"/>
    </xf>
    <xf numFmtId="37" fontId="163" fillId="39" borderId="1" xfId="820" applyNumberFormat="1" applyFont="1" applyBorder="1" applyAlignment="1" applyProtection="1">
      <alignment horizontal="center" vertical="center"/>
      <protection locked="0"/>
    </xf>
    <xf numFmtId="168" fontId="163" fillId="6" borderId="1" xfId="718" applyNumberFormat="1" applyFont="1" applyFill="1" applyBorder="1" applyAlignment="1" applyProtection="1">
      <alignment vertical="center"/>
    </xf>
    <xf numFmtId="37" fontId="163" fillId="6" borderId="1" xfId="14" applyNumberFormat="1" applyFont="1" applyFill="1" applyBorder="1" applyAlignment="1" applyProtection="1">
      <alignment horizontal="center" vertical="center"/>
    </xf>
    <xf numFmtId="168" fontId="163" fillId="39" borderId="1" xfId="820" applyNumberFormat="1" applyFont="1" applyBorder="1" applyAlignment="1" applyProtection="1">
      <alignment vertical="center"/>
      <protection locked="0"/>
    </xf>
    <xf numFmtId="37" fontId="163" fillId="39" borderId="1" xfId="816" applyNumberFormat="1" applyFont="1" applyFill="1" applyBorder="1" applyAlignment="1" applyProtection="1">
      <alignment horizontal="right" vertical="center"/>
      <protection locked="0"/>
    </xf>
    <xf numFmtId="186" fontId="163" fillId="39" borderId="1" xfId="820" applyNumberFormat="1" applyFont="1" applyBorder="1" applyAlignment="1" applyProtection="1">
      <alignment horizontal="center" vertical="center"/>
      <protection locked="0"/>
    </xf>
    <xf numFmtId="37" fontId="163" fillId="6" borderId="1" xfId="0" applyNumberFormat="1" applyFont="1" applyFill="1" applyBorder="1" applyAlignment="1">
      <alignment horizontal="center" vertical="center"/>
    </xf>
    <xf numFmtId="39" fontId="163" fillId="0" borderId="1" xfId="14" applyNumberFormat="1" applyFont="1" applyFill="1" applyBorder="1" applyAlignment="1" applyProtection="1">
      <alignment horizontal="center" vertical="center"/>
    </xf>
    <xf numFmtId="0" fontId="163" fillId="37" borderId="1" xfId="0" applyFont="1" applyFill="1" applyBorder="1" applyAlignment="1">
      <alignment vertical="center"/>
    </xf>
    <xf numFmtId="0" fontId="167" fillId="37" borderId="1" xfId="0" applyFont="1" applyFill="1" applyBorder="1" applyAlignment="1">
      <alignment vertical="center"/>
    </xf>
    <xf numFmtId="5" fontId="163" fillId="37" borderId="1" xfId="14" applyNumberFormat="1" applyFont="1" applyFill="1" applyBorder="1" applyAlignment="1" applyProtection="1">
      <alignment horizontal="right" vertical="center"/>
    </xf>
    <xf numFmtId="168" fontId="163" fillId="37" borderId="1" xfId="718" applyNumberFormat="1" applyFont="1" applyFill="1" applyBorder="1" applyAlignment="1" applyProtection="1">
      <alignment horizontal="center" vertical="center"/>
    </xf>
    <xf numFmtId="5" fontId="163" fillId="37" borderId="1" xfId="14" applyNumberFormat="1" applyFont="1" applyFill="1" applyBorder="1" applyAlignment="1" applyProtection="1">
      <alignment horizontal="center" vertical="center"/>
    </xf>
    <xf numFmtId="168" fontId="163" fillId="37" borderId="1" xfId="718" applyNumberFormat="1" applyFont="1" applyFill="1" applyBorder="1" applyAlignment="1" applyProtection="1">
      <alignment vertical="center"/>
    </xf>
    <xf numFmtId="186" fontId="163" fillId="37" borderId="1" xfId="816" applyNumberFormat="1" applyFont="1" applyFill="1" applyBorder="1" applyAlignment="1" applyProtection="1">
      <alignment horizontal="center" vertical="center"/>
    </xf>
    <xf numFmtId="5" fontId="163" fillId="37" borderId="1" xfId="0" applyNumberFormat="1" applyFont="1" applyFill="1" applyBorder="1" applyAlignment="1">
      <alignment horizontal="center" vertical="center"/>
    </xf>
    <xf numFmtId="10" fontId="163" fillId="0" borderId="0" xfId="14" applyNumberFormat="1" applyFont="1" applyFill="1" applyBorder="1" applyAlignment="1" applyProtection="1">
      <alignment horizontal="right" vertical="center"/>
    </xf>
    <xf numFmtId="168" fontId="163" fillId="0" borderId="0" xfId="718" applyNumberFormat="1" applyFont="1" applyFill="1" applyBorder="1" applyAlignment="1" applyProtection="1">
      <alignment horizontal="center" vertical="center"/>
    </xf>
    <xf numFmtId="10" fontId="163" fillId="0" borderId="0" xfId="14" applyNumberFormat="1" applyFont="1" applyFill="1" applyBorder="1" applyAlignment="1" applyProtection="1">
      <alignment horizontal="center" vertical="center"/>
    </xf>
    <xf numFmtId="168" fontId="163" fillId="0" borderId="0" xfId="718" applyNumberFormat="1" applyFont="1" applyFill="1" applyBorder="1" applyAlignment="1" applyProtection="1">
      <alignment vertical="center"/>
    </xf>
    <xf numFmtId="37" fontId="163" fillId="34" borderId="0" xfId="14" applyNumberFormat="1" applyFont="1" applyFill="1" applyBorder="1" applyAlignment="1" applyProtection="1">
      <alignment horizontal="right" vertical="center"/>
    </xf>
    <xf numFmtId="186" fontId="163" fillId="39" borderId="73" xfId="820" applyNumberFormat="1" applyFont="1" applyBorder="1" applyAlignment="1" applyProtection="1">
      <alignment horizontal="center" vertical="center"/>
      <protection locked="0"/>
    </xf>
    <xf numFmtId="37" fontId="167" fillId="0" borderId="0" xfId="14" applyNumberFormat="1" applyFont="1" applyFill="1" applyBorder="1" applyAlignment="1" applyProtection="1">
      <alignment horizontal="right" vertical="center"/>
    </xf>
    <xf numFmtId="37" fontId="167" fillId="0" borderId="0" xfId="14" applyNumberFormat="1" applyFont="1" applyFill="1" applyBorder="1" applyAlignment="1" applyProtection="1">
      <alignment horizontal="center" vertical="center"/>
    </xf>
    <xf numFmtId="37" fontId="167" fillId="0" borderId="0" xfId="14" applyNumberFormat="1" applyFont="1" applyFill="1" applyBorder="1" applyAlignment="1" applyProtection="1">
      <alignment vertical="center"/>
    </xf>
    <xf numFmtId="186" fontId="163" fillId="0" borderId="0" xfId="14" applyNumberFormat="1" applyFont="1" applyFill="1" applyBorder="1" applyAlignment="1" applyProtection="1">
      <alignment horizontal="center" vertical="center"/>
    </xf>
    <xf numFmtId="37" fontId="167" fillId="0" borderId="0" xfId="0" applyNumberFormat="1" applyFont="1" applyAlignment="1">
      <alignment horizontal="center" vertical="center"/>
    </xf>
    <xf numFmtId="39" fontId="167" fillId="0" borderId="0" xfId="14" applyNumberFormat="1" applyFont="1" applyFill="1" applyBorder="1" applyAlignment="1" applyProtection="1">
      <alignment horizontal="center" vertical="center"/>
    </xf>
    <xf numFmtId="37" fontId="163" fillId="39" borderId="1" xfId="820" applyNumberFormat="1" applyFont="1" applyBorder="1" applyAlignment="1" applyProtection="1">
      <alignment horizontal="center" vertical="center"/>
    </xf>
    <xf numFmtId="37" fontId="163" fillId="6" borderId="1" xfId="14" applyNumberFormat="1" applyFont="1" applyFill="1" applyBorder="1" applyAlignment="1" applyProtection="1">
      <alignment vertical="center"/>
    </xf>
    <xf numFmtId="167" fontId="167" fillId="6" borderId="1" xfId="14" applyNumberFormat="1" applyFont="1" applyFill="1" applyBorder="1" applyAlignment="1" applyProtection="1">
      <alignment vertical="center"/>
    </xf>
    <xf numFmtId="37" fontId="163" fillId="7" borderId="1" xfId="816" applyNumberFormat="1" applyFont="1" applyBorder="1" applyAlignment="1" applyProtection="1">
      <alignment horizontal="right" vertical="center"/>
      <protection locked="0"/>
    </xf>
    <xf numFmtId="37" fontId="163" fillId="0" borderId="1" xfId="0" applyNumberFormat="1" applyFont="1" applyBorder="1" applyAlignment="1">
      <alignment horizontal="center" vertical="center"/>
    </xf>
    <xf numFmtId="0" fontId="163" fillId="37" borderId="0" xfId="0" applyFont="1" applyFill="1" applyAlignment="1">
      <alignment vertical="center"/>
    </xf>
    <xf numFmtId="166" fontId="163" fillId="37" borderId="0" xfId="14" applyNumberFormat="1" applyFont="1" applyFill="1" applyBorder="1" applyAlignment="1" applyProtection="1">
      <alignment horizontal="right" vertical="center"/>
    </xf>
    <xf numFmtId="166" fontId="163" fillId="37" borderId="0" xfId="14" applyNumberFormat="1" applyFont="1" applyFill="1" applyBorder="1" applyAlignment="1" applyProtection="1">
      <alignment horizontal="center" vertical="center"/>
    </xf>
    <xf numFmtId="166" fontId="163" fillId="37" borderId="0" xfId="14" applyNumberFormat="1" applyFont="1" applyFill="1" applyBorder="1" applyAlignment="1" applyProtection="1">
      <alignment vertical="center"/>
    </xf>
    <xf numFmtId="166" fontId="163" fillId="37" borderId="0" xfId="0" applyNumberFormat="1" applyFont="1" applyFill="1" applyAlignment="1">
      <alignment horizontal="center" vertical="center"/>
    </xf>
    <xf numFmtId="7" fontId="163" fillId="37" borderId="0" xfId="14" applyNumberFormat="1" applyFont="1" applyFill="1" applyBorder="1" applyAlignment="1" applyProtection="1">
      <alignment horizontal="center" vertical="center"/>
    </xf>
    <xf numFmtId="166" fontId="163" fillId="37" borderId="1" xfId="14" applyNumberFormat="1" applyFont="1" applyFill="1" applyBorder="1" applyAlignment="1" applyProtection="1">
      <alignment horizontal="right" vertical="center"/>
    </xf>
    <xf numFmtId="166" fontId="163" fillId="37" borderId="1" xfId="14" applyNumberFormat="1" applyFont="1" applyFill="1" applyBorder="1" applyAlignment="1" applyProtection="1">
      <alignment horizontal="center" vertical="center"/>
    </xf>
    <xf numFmtId="166" fontId="163" fillId="37" borderId="1" xfId="14" applyNumberFormat="1" applyFont="1" applyFill="1" applyBorder="1" applyAlignment="1" applyProtection="1">
      <alignment vertical="center"/>
    </xf>
    <xf numFmtId="166" fontId="163" fillId="37" borderId="1" xfId="0" applyNumberFormat="1" applyFont="1" applyFill="1" applyBorder="1" applyAlignment="1">
      <alignment horizontal="center" vertical="center"/>
    </xf>
    <xf numFmtId="7" fontId="163" fillId="37" borderId="1" xfId="14" applyNumberFormat="1" applyFont="1" applyFill="1" applyBorder="1" applyAlignment="1" applyProtection="1">
      <alignment horizontal="center" vertical="center"/>
    </xf>
    <xf numFmtId="0" fontId="108" fillId="0" borderId="0" xfId="0" applyFont="1" applyAlignment="1">
      <alignment vertical="center"/>
    </xf>
    <xf numFmtId="0" fontId="108" fillId="0" borderId="0" xfId="0" applyFont="1" applyAlignment="1">
      <alignment horizontal="right" vertical="center"/>
    </xf>
    <xf numFmtId="0" fontId="108" fillId="0" borderId="0" xfId="0" applyFont="1" applyAlignment="1">
      <alignment horizontal="center" vertical="center"/>
    </xf>
    <xf numFmtId="0" fontId="108" fillId="0" borderId="0" xfId="0" applyFont="1" applyAlignment="1">
      <alignment horizontal="right" vertical="center" indent="1"/>
    </xf>
    <xf numFmtId="186" fontId="108" fillId="0" borderId="0" xfId="0" applyNumberFormat="1" applyFont="1" applyAlignment="1">
      <alignment horizontal="center" vertical="center"/>
    </xf>
    <xf numFmtId="0" fontId="162" fillId="36" borderId="1" xfId="14" applyNumberFormat="1" applyFont="1" applyFill="1" applyBorder="1" applyAlignment="1" applyProtection="1">
      <alignment horizontal="right" vertical="center"/>
    </xf>
    <xf numFmtId="0" fontId="162" fillId="36" borderId="1" xfId="14" applyNumberFormat="1" applyFont="1" applyFill="1" applyBorder="1" applyAlignment="1" applyProtection="1">
      <alignment horizontal="center" vertical="center"/>
    </xf>
    <xf numFmtId="37" fontId="163" fillId="6" borderId="0" xfId="14" applyNumberFormat="1" applyFont="1" applyFill="1" applyBorder="1" applyAlignment="1" applyProtection="1">
      <alignment horizontal="right" vertical="center" indent="1"/>
    </xf>
    <xf numFmtId="167" fontId="167" fillId="6" borderId="0" xfId="14" applyNumberFormat="1" applyFont="1" applyFill="1" applyBorder="1" applyAlignment="1" applyProtection="1">
      <alignment horizontal="right" vertical="center" indent="1"/>
    </xf>
    <xf numFmtId="0" fontId="163" fillId="0" borderId="1" xfId="0" applyFont="1" applyBorder="1" applyAlignment="1">
      <alignment vertical="center"/>
    </xf>
    <xf numFmtId="37" fontId="163" fillId="6" borderId="1" xfId="14" applyNumberFormat="1" applyFont="1" applyFill="1" applyBorder="1" applyAlignment="1" applyProtection="1">
      <alignment horizontal="right" vertical="center" indent="1"/>
    </xf>
    <xf numFmtId="167" fontId="167" fillId="6" borderId="1" xfId="14" applyNumberFormat="1" applyFont="1" applyFill="1" applyBorder="1" applyAlignment="1" applyProtection="1">
      <alignment horizontal="right" vertical="center" indent="1"/>
    </xf>
    <xf numFmtId="37" fontId="163" fillId="39" borderId="0" xfId="820" applyNumberFormat="1" applyFont="1" applyBorder="1" applyAlignment="1" applyProtection="1">
      <alignment horizontal="right" vertical="center" indent="1"/>
    </xf>
    <xf numFmtId="37" fontId="163" fillId="39" borderId="1" xfId="820" applyNumberFormat="1" applyFont="1" applyBorder="1" applyAlignment="1" applyProtection="1">
      <alignment horizontal="right" vertical="center" indent="1"/>
    </xf>
    <xf numFmtId="37" fontId="163" fillId="0" borderId="0" xfId="14" applyNumberFormat="1" applyFont="1" applyFill="1" applyBorder="1" applyAlignment="1" applyProtection="1">
      <alignment horizontal="right" vertical="center" indent="1"/>
    </xf>
    <xf numFmtId="0" fontId="163" fillId="6" borderId="1" xfId="0" applyFont="1" applyFill="1" applyBorder="1" applyAlignment="1">
      <alignment vertical="center"/>
    </xf>
    <xf numFmtId="168" fontId="163" fillId="39" borderId="1" xfId="820" applyNumberFormat="1" applyFont="1" applyBorder="1" applyAlignment="1" applyProtection="1">
      <alignment horizontal="right" vertical="center" indent="1"/>
      <protection locked="0"/>
    </xf>
    <xf numFmtId="166" fontId="163" fillId="37" borderId="0" xfId="14" applyNumberFormat="1" applyFont="1" applyFill="1" applyBorder="1" applyAlignment="1" applyProtection="1">
      <alignment horizontal="right" vertical="center" indent="1"/>
    </xf>
    <xf numFmtId="168" fontId="163" fillId="37" borderId="0" xfId="718" applyNumberFormat="1" applyFont="1" applyFill="1" applyBorder="1" applyAlignment="1" applyProtection="1">
      <alignment horizontal="right" vertical="center"/>
    </xf>
    <xf numFmtId="168" fontId="163" fillId="37" borderId="0" xfId="718" applyNumberFormat="1" applyFont="1" applyFill="1" applyBorder="1" applyAlignment="1" applyProtection="1">
      <alignment horizontal="center" vertical="center"/>
    </xf>
    <xf numFmtId="166" fontId="163" fillId="37" borderId="1" xfId="14" applyNumberFormat="1" applyFont="1" applyFill="1" applyBorder="1" applyAlignment="1" applyProtection="1">
      <alignment horizontal="right" vertical="center" indent="1"/>
    </xf>
    <xf numFmtId="166" fontId="163" fillId="37" borderId="1" xfId="718" applyNumberFormat="1" applyFont="1" applyFill="1" applyBorder="1" applyAlignment="1" applyProtection="1">
      <alignment horizontal="right" vertical="center" indent="1"/>
    </xf>
    <xf numFmtId="0" fontId="168" fillId="0" borderId="0" xfId="0" applyFont="1" applyAlignment="1">
      <alignment vertical="center"/>
    </xf>
    <xf numFmtId="186" fontId="165" fillId="6" borderId="0" xfId="718" applyNumberFormat="1" applyFont="1" applyFill="1" applyBorder="1" applyAlignment="1" applyProtection="1">
      <alignment horizontal="left" vertical="center" indent="1"/>
    </xf>
    <xf numFmtId="0" fontId="165" fillId="39" borderId="0" xfId="820" applyFont="1" applyBorder="1" applyAlignment="1" applyProtection="1">
      <alignment horizontal="left" vertical="center" wrapText="1" indent="1"/>
      <protection locked="0"/>
    </xf>
    <xf numFmtId="186" fontId="165" fillId="6" borderId="1" xfId="718" applyNumberFormat="1" applyFont="1" applyFill="1" applyBorder="1" applyAlignment="1" applyProtection="1">
      <alignment horizontal="left" vertical="center" indent="1"/>
    </xf>
    <xf numFmtId="0" fontId="165" fillId="39" borderId="1" xfId="820" applyFont="1" applyBorder="1" applyAlignment="1" applyProtection="1">
      <alignment horizontal="left" vertical="center" wrapText="1" indent="1"/>
      <protection locked="0"/>
    </xf>
    <xf numFmtId="0" fontId="169" fillId="0" borderId="0" xfId="579" applyFont="1" applyAlignment="1">
      <alignment vertical="center"/>
    </xf>
    <xf numFmtId="0" fontId="164" fillId="36" borderId="1" xfId="0" applyFont="1" applyFill="1" applyBorder="1" applyAlignment="1">
      <alignment vertical="center"/>
    </xf>
    <xf numFmtId="0" fontId="165" fillId="37" borderId="0" xfId="0" applyFont="1" applyFill="1" applyAlignment="1">
      <alignment vertical="center"/>
    </xf>
    <xf numFmtId="0" fontId="165" fillId="37" borderId="0" xfId="0" applyFont="1" applyFill="1" applyAlignment="1">
      <alignment horizontal="left" vertical="center" indent="1"/>
    </xf>
    <xf numFmtId="166" fontId="165" fillId="37" borderId="0" xfId="0" applyNumberFormat="1" applyFont="1" applyFill="1" applyAlignment="1">
      <alignment horizontal="center" vertical="center"/>
    </xf>
    <xf numFmtId="166" fontId="165" fillId="37" borderId="0" xfId="0" applyNumberFormat="1" applyFont="1" applyFill="1" applyAlignment="1">
      <alignment vertical="center"/>
    </xf>
    <xf numFmtId="0" fontId="170" fillId="0" borderId="0" xfId="0" applyFont="1" applyAlignment="1">
      <alignment horizontal="left" vertical="center" indent="1"/>
    </xf>
    <xf numFmtId="9" fontId="170" fillId="0" borderId="0" xfId="718" applyFont="1" applyFill="1" applyBorder="1" applyAlignment="1" applyProtection="1">
      <alignment horizontal="left" vertical="center" indent="1"/>
    </xf>
    <xf numFmtId="166" fontId="171" fillId="0" borderId="0" xfId="0" applyNumberFormat="1" applyFont="1" applyAlignment="1">
      <alignment horizontal="left" vertical="center" indent="1"/>
    </xf>
    <xf numFmtId="0" fontId="165" fillId="0" borderId="0" xfId="0" applyFont="1" applyAlignment="1">
      <alignment horizontal="left" vertical="center" indent="1"/>
    </xf>
    <xf numFmtId="0" fontId="172" fillId="0" borderId="0" xfId="0" applyFont="1" applyAlignment="1">
      <alignment horizontal="center" vertical="center"/>
    </xf>
    <xf numFmtId="0" fontId="172" fillId="0" borderId="0" xfId="193" applyNumberFormat="1" applyFont="1" applyFill="1" applyBorder="1" applyAlignment="1" applyProtection="1">
      <alignment horizontal="right" vertical="center" indent="1"/>
    </xf>
    <xf numFmtId="0" fontId="165" fillId="0" borderId="0" xfId="0" applyFont="1" applyAlignment="1">
      <alignment horizontal="center" vertical="center"/>
    </xf>
    <xf numFmtId="0" fontId="165" fillId="0" borderId="0" xfId="0" applyFont="1" applyAlignment="1">
      <alignment horizontal="right" vertical="center" indent="1"/>
    </xf>
    <xf numFmtId="0" fontId="165" fillId="0" borderId="0" xfId="0" applyFont="1" applyAlignment="1">
      <alignment vertical="center"/>
    </xf>
    <xf numFmtId="0" fontId="165" fillId="0" borderId="0" xfId="0" applyFont="1" applyAlignment="1">
      <alignment horizontal="left" vertical="center" indent="2"/>
    </xf>
    <xf numFmtId="166" fontId="165" fillId="0" borderId="0" xfId="0" applyNumberFormat="1" applyFont="1" applyAlignment="1">
      <alignment horizontal="center" vertical="center"/>
    </xf>
    <xf numFmtId="9" fontId="165" fillId="0" borderId="0" xfId="718" applyFont="1" applyBorder="1" applyAlignment="1" applyProtection="1">
      <alignment horizontal="right" vertical="center" indent="1"/>
    </xf>
    <xf numFmtId="0" fontId="171" fillId="0" borderId="0" xfId="0" applyFont="1" applyAlignment="1">
      <alignment horizontal="left" vertical="center" indent="1"/>
    </xf>
    <xf numFmtId="0" fontId="173" fillId="0" borderId="0" xfId="0" applyFont="1" applyAlignment="1">
      <alignment horizontal="center" vertical="center"/>
    </xf>
    <xf numFmtId="0" fontId="174" fillId="0" borderId="0" xfId="193" applyNumberFormat="1" applyFont="1" applyFill="1" applyBorder="1" applyAlignment="1" applyProtection="1">
      <alignment horizontal="right" vertical="center" indent="1"/>
    </xf>
    <xf numFmtId="0" fontId="171" fillId="0" borderId="0" xfId="0" applyFont="1" applyAlignment="1">
      <alignment horizontal="center" vertical="center"/>
    </xf>
    <xf numFmtId="0" fontId="171" fillId="0" borderId="0" xfId="0" applyFont="1" applyAlignment="1">
      <alignment horizontal="right" vertical="center" indent="1"/>
    </xf>
    <xf numFmtId="0" fontId="164" fillId="36" borderId="1" xfId="0" applyFont="1" applyFill="1" applyBorder="1" applyAlignment="1">
      <alignment horizontal="center" vertical="center"/>
    </xf>
    <xf numFmtId="166" fontId="165" fillId="0" borderId="0" xfId="0" applyNumberFormat="1" applyFont="1" applyAlignment="1">
      <alignment vertical="center"/>
    </xf>
    <xf numFmtId="169" fontId="171" fillId="0" borderId="0" xfId="0" applyNumberFormat="1" applyFont="1" applyAlignment="1">
      <alignment horizontal="left" vertical="center" indent="1"/>
    </xf>
    <xf numFmtId="0" fontId="165" fillId="37" borderId="0" xfId="0" applyFont="1" applyFill="1" applyAlignment="1">
      <alignment horizontal="center" vertical="center"/>
    </xf>
    <xf numFmtId="169" fontId="165" fillId="0" borderId="0" xfId="0" applyNumberFormat="1" applyFont="1" applyAlignment="1">
      <alignment horizontal="center" vertical="center"/>
    </xf>
    <xf numFmtId="169" fontId="165" fillId="0" borderId="0" xfId="0" applyNumberFormat="1" applyFont="1" applyAlignment="1">
      <alignment vertical="center"/>
    </xf>
    <xf numFmtId="3" fontId="171" fillId="0" borderId="0" xfId="0" applyNumberFormat="1" applyFont="1" applyAlignment="1">
      <alignment horizontal="left" vertical="center" indent="1"/>
    </xf>
    <xf numFmtId="168" fontId="165" fillId="0" borderId="0" xfId="718" applyNumberFormat="1" applyFont="1" applyFill="1" applyBorder="1" applyAlignment="1" applyProtection="1">
      <alignment horizontal="center" vertical="center"/>
    </xf>
    <xf numFmtId="3" fontId="165" fillId="0" borderId="0" xfId="0" applyNumberFormat="1" applyFont="1" applyAlignment="1">
      <alignment horizontal="center" vertical="center"/>
    </xf>
    <xf numFmtId="3" fontId="165" fillId="0" borderId="0" xfId="0" applyNumberFormat="1" applyFont="1" applyAlignment="1">
      <alignment vertical="center"/>
    </xf>
    <xf numFmtId="10" fontId="165" fillId="0" borderId="0" xfId="0" applyNumberFormat="1" applyFont="1" applyAlignment="1">
      <alignment horizontal="center" vertical="center"/>
    </xf>
    <xf numFmtId="197" fontId="165" fillId="0" borderId="0" xfId="0" applyNumberFormat="1" applyFont="1" applyAlignment="1">
      <alignment horizontal="center" vertical="center"/>
    </xf>
    <xf numFmtId="0" fontId="165" fillId="0" borderId="1" xfId="0" applyFont="1" applyBorder="1" applyAlignment="1">
      <alignment vertical="center"/>
    </xf>
    <xf numFmtId="0" fontId="165" fillId="0" borderId="1" xfId="0" applyFont="1" applyBorder="1" applyAlignment="1">
      <alignment horizontal="left" vertical="center" indent="2"/>
    </xf>
    <xf numFmtId="0" fontId="165" fillId="0" borderId="1" xfId="0" applyFont="1" applyBorder="1" applyAlignment="1">
      <alignment horizontal="center" vertical="center"/>
    </xf>
    <xf numFmtId="49" fontId="171" fillId="0" borderId="0" xfId="0" applyNumberFormat="1" applyFont="1" applyAlignment="1">
      <alignment horizontal="left" vertical="center" indent="1"/>
    </xf>
    <xf numFmtId="10" fontId="165" fillId="0" borderId="0" xfId="718" applyNumberFormat="1" applyFont="1" applyBorder="1" applyAlignment="1" applyProtection="1">
      <alignment horizontal="center" vertical="center"/>
    </xf>
    <xf numFmtId="0" fontId="171" fillId="0" borderId="0" xfId="0" applyFont="1" applyAlignment="1">
      <alignment horizontal="left" vertical="center" indent="2"/>
    </xf>
    <xf numFmtId="0" fontId="171" fillId="0" borderId="0" xfId="0" applyFont="1" applyAlignment="1">
      <alignment horizontal="right" vertical="center"/>
    </xf>
    <xf numFmtId="0" fontId="171" fillId="0" borderId="0" xfId="0" applyFont="1" applyAlignment="1">
      <alignment vertical="center"/>
    </xf>
    <xf numFmtId="168" fontId="165" fillId="6" borderId="0" xfId="718" applyNumberFormat="1" applyFont="1" applyFill="1" applyBorder="1" applyAlignment="1" applyProtection="1">
      <alignment horizontal="center" vertical="center"/>
    </xf>
    <xf numFmtId="166" fontId="165" fillId="6" borderId="0" xfId="0" applyNumberFormat="1" applyFont="1" applyFill="1" applyAlignment="1">
      <alignment horizontal="center" vertical="center"/>
    </xf>
    <xf numFmtId="0" fontId="173" fillId="0" borderId="0" xfId="0" applyFont="1" applyAlignment="1">
      <alignment horizontal="left" vertical="center" indent="1"/>
    </xf>
    <xf numFmtId="10" fontId="165" fillId="37" borderId="0" xfId="718" applyNumberFormat="1" applyFont="1" applyFill="1" applyBorder="1" applyAlignment="1" applyProtection="1">
      <alignment horizontal="center" vertical="center"/>
    </xf>
    <xf numFmtId="0" fontId="164" fillId="36" borderId="1" xfId="0" applyFont="1" applyFill="1" applyBorder="1" applyAlignment="1">
      <alignment horizontal="left" vertical="center" indent="1"/>
    </xf>
    <xf numFmtId="166" fontId="164" fillId="36" borderId="1" xfId="0" applyNumberFormat="1" applyFont="1" applyFill="1" applyBorder="1" applyAlignment="1">
      <alignment horizontal="center" vertical="center"/>
    </xf>
    <xf numFmtId="166" fontId="164" fillId="36" borderId="1" xfId="0" applyNumberFormat="1" applyFont="1" applyFill="1" applyBorder="1" applyAlignment="1">
      <alignment vertical="center"/>
    </xf>
    <xf numFmtId="10" fontId="165" fillId="0" borderId="0" xfId="718" applyNumberFormat="1" applyFont="1" applyFill="1" applyBorder="1" applyAlignment="1" applyProtection="1">
      <alignment horizontal="center" vertical="center"/>
    </xf>
    <xf numFmtId="166" fontId="165" fillId="0" borderId="0" xfId="718" applyNumberFormat="1" applyFont="1" applyFill="1" applyBorder="1" applyAlignment="1" applyProtection="1">
      <alignment horizontal="center" vertical="center"/>
    </xf>
    <xf numFmtId="10" fontId="165" fillId="37" borderId="0" xfId="0" applyNumberFormat="1" applyFont="1" applyFill="1" applyAlignment="1">
      <alignment horizontal="center" vertical="center"/>
    </xf>
    <xf numFmtId="10" fontId="172" fillId="37" borderId="0" xfId="718" applyNumberFormat="1" applyFont="1" applyFill="1" applyBorder="1" applyAlignment="1" applyProtection="1">
      <alignment horizontal="center" vertical="center"/>
    </xf>
    <xf numFmtId="10" fontId="165" fillId="37" borderId="0" xfId="718" applyNumberFormat="1" applyFont="1" applyFill="1" applyBorder="1" applyAlignment="1" applyProtection="1">
      <alignment vertical="center"/>
    </xf>
    <xf numFmtId="2" fontId="165" fillId="6" borderId="0" xfId="0" applyNumberFormat="1" applyFont="1" applyFill="1" applyAlignment="1">
      <alignment horizontal="center" vertical="center"/>
    </xf>
    <xf numFmtId="2" fontId="165" fillId="6" borderId="0" xfId="0" applyNumberFormat="1" applyFont="1" applyFill="1" applyAlignment="1">
      <alignment vertical="center"/>
    </xf>
    <xf numFmtId="0" fontId="165" fillId="6" borderId="0" xfId="0" applyFont="1" applyFill="1" applyAlignment="1">
      <alignment vertical="center"/>
    </xf>
    <xf numFmtId="10" fontId="165" fillId="6" borderId="0" xfId="718" applyNumberFormat="1" applyFont="1" applyFill="1" applyBorder="1" applyAlignment="1" applyProtection="1">
      <alignment horizontal="center" vertical="center"/>
    </xf>
    <xf numFmtId="10" fontId="165" fillId="6" borderId="0" xfId="718" applyNumberFormat="1" applyFont="1" applyFill="1" applyBorder="1" applyAlignment="1" applyProtection="1">
      <alignment vertical="center"/>
    </xf>
    <xf numFmtId="10" fontId="165" fillId="0" borderId="1" xfId="718" applyNumberFormat="1" applyFont="1" applyFill="1" applyBorder="1" applyAlignment="1" applyProtection="1">
      <alignment horizontal="center" vertical="center"/>
    </xf>
    <xf numFmtId="166" fontId="165" fillId="0" borderId="1" xfId="0" applyNumberFormat="1" applyFont="1" applyBorder="1" applyAlignment="1">
      <alignment horizontal="center" vertical="center"/>
    </xf>
    <xf numFmtId="10" fontId="165" fillId="0" borderId="1" xfId="0" applyNumberFormat="1" applyFont="1" applyBorder="1" applyAlignment="1">
      <alignment horizontal="center" vertical="center"/>
    </xf>
    <xf numFmtId="0" fontId="165" fillId="0" borderId="1" xfId="0" applyFont="1" applyBorder="1" applyAlignment="1">
      <alignment horizontal="left" vertical="center" indent="1"/>
    </xf>
    <xf numFmtId="2" fontId="165" fillId="0" borderId="1" xfId="0" applyNumberFormat="1" applyFont="1" applyBorder="1" applyAlignment="1">
      <alignment horizontal="center" vertical="center"/>
    </xf>
    <xf numFmtId="2" fontId="165" fillId="6" borderId="1" xfId="0" applyNumberFormat="1" applyFont="1" applyFill="1" applyBorder="1" applyAlignment="1">
      <alignment horizontal="center" vertical="center"/>
    </xf>
    <xf numFmtId="2" fontId="165" fillId="6" borderId="1" xfId="0" applyNumberFormat="1" applyFont="1" applyFill="1" applyBorder="1" applyAlignment="1">
      <alignment vertical="center"/>
    </xf>
    <xf numFmtId="0" fontId="165" fillId="37" borderId="79" xfId="0" applyFont="1" applyFill="1" applyBorder="1" applyAlignment="1">
      <alignment vertical="center"/>
    </xf>
    <xf numFmtId="10" fontId="165" fillId="37" borderId="79" xfId="718" applyNumberFormat="1" applyFont="1" applyFill="1" applyBorder="1" applyAlignment="1" applyProtection="1">
      <alignment horizontal="center" vertical="center"/>
    </xf>
    <xf numFmtId="166" fontId="165" fillId="37" borderId="79" xfId="0" applyNumberFormat="1" applyFont="1" applyFill="1" applyBorder="1" applyAlignment="1">
      <alignment horizontal="center" vertical="center"/>
    </xf>
    <xf numFmtId="9" fontId="173" fillId="0" borderId="0" xfId="718" applyFont="1" applyFill="1" applyBorder="1" applyAlignment="1" applyProtection="1">
      <alignment horizontal="center" vertical="center"/>
    </xf>
    <xf numFmtId="166" fontId="173" fillId="0" borderId="0" xfId="0" applyNumberFormat="1" applyFont="1" applyAlignment="1">
      <alignment horizontal="right" vertical="center" indent="1"/>
    </xf>
    <xf numFmtId="10" fontId="171" fillId="0" borderId="0" xfId="718" applyNumberFormat="1" applyFont="1" applyFill="1" applyBorder="1" applyAlignment="1" applyProtection="1">
      <alignment horizontal="right" vertical="center" indent="1"/>
    </xf>
    <xf numFmtId="10" fontId="171" fillId="0" borderId="0" xfId="718" applyNumberFormat="1" applyFont="1" applyFill="1" applyBorder="1" applyAlignment="1" applyProtection="1">
      <alignment horizontal="center" vertical="center"/>
    </xf>
    <xf numFmtId="0" fontId="164" fillId="36" borderId="1" xfId="0" applyFont="1" applyFill="1" applyBorder="1" applyAlignment="1">
      <alignment horizontal="left" vertical="center" indent="2"/>
    </xf>
    <xf numFmtId="10" fontId="164" fillId="36" borderId="1" xfId="0" applyNumberFormat="1" applyFont="1" applyFill="1" applyBorder="1" applyAlignment="1">
      <alignment horizontal="center" vertical="center"/>
    </xf>
    <xf numFmtId="0" fontId="164" fillId="36" borderId="1" xfId="0" applyFont="1" applyFill="1" applyBorder="1" applyAlignment="1">
      <alignment horizontal="right" vertical="center" indent="1"/>
    </xf>
    <xf numFmtId="2" fontId="165" fillId="0" borderId="0" xfId="718" applyNumberFormat="1" applyFont="1" applyFill="1" applyBorder="1" applyAlignment="1" applyProtection="1">
      <alignment horizontal="center" vertical="center"/>
    </xf>
    <xf numFmtId="170" fontId="165" fillId="0" borderId="0" xfId="718" applyNumberFormat="1" applyFont="1" applyFill="1" applyBorder="1" applyAlignment="1" applyProtection="1">
      <alignment horizontal="center" vertical="center"/>
    </xf>
    <xf numFmtId="0" fontId="172" fillId="0" borderId="1" xfId="0" applyFont="1" applyBorder="1" applyAlignment="1">
      <alignment horizontal="center" vertical="center"/>
    </xf>
    <xf numFmtId="1" fontId="165" fillId="0" borderId="1" xfId="718" applyNumberFormat="1" applyFont="1" applyFill="1" applyBorder="1" applyAlignment="1" applyProtection="1">
      <alignment horizontal="center" vertical="center"/>
    </xf>
    <xf numFmtId="38" fontId="165" fillId="0" borderId="0" xfId="715" applyNumberFormat="1" applyFont="1" applyAlignment="1">
      <alignment horizontal="left" vertical="center" indent="1"/>
    </xf>
    <xf numFmtId="0" fontId="164" fillId="36" borderId="1" xfId="0" applyFont="1" applyFill="1" applyBorder="1" applyAlignment="1">
      <alignment horizontal="left" vertical="center"/>
    </xf>
    <xf numFmtId="0" fontId="165" fillId="0" borderId="0" xfId="0" applyFont="1" applyAlignment="1">
      <alignment horizontal="left" vertical="center"/>
    </xf>
    <xf numFmtId="6" fontId="165" fillId="0" borderId="0" xfId="0" applyNumberFormat="1" applyFont="1" applyAlignment="1">
      <alignment horizontal="center" vertical="center"/>
    </xf>
    <xf numFmtId="3" fontId="165" fillId="0" borderId="0" xfId="715" applyNumberFormat="1" applyFont="1" applyAlignment="1">
      <alignment horizontal="center" vertical="center"/>
    </xf>
    <xf numFmtId="6" fontId="165" fillId="0" borderId="0" xfId="715" applyNumberFormat="1" applyFont="1" applyAlignment="1">
      <alignment horizontal="center" vertical="center"/>
    </xf>
    <xf numFmtId="9" fontId="165" fillId="37" borderId="0" xfId="718" applyFont="1" applyFill="1" applyBorder="1" applyAlignment="1" applyProtection="1">
      <alignment vertical="center"/>
    </xf>
    <xf numFmtId="166" fontId="165" fillId="37" borderId="0" xfId="718" applyNumberFormat="1" applyFont="1" applyFill="1" applyBorder="1" applyAlignment="1" applyProtection="1">
      <alignment horizontal="center" vertical="center"/>
    </xf>
    <xf numFmtId="38" fontId="112" fillId="0" borderId="0" xfId="716" applyFont="1" applyAlignment="1">
      <alignment horizontal="left" vertical="center" indent="1"/>
    </xf>
    <xf numFmtId="0" fontId="165" fillId="35" borderId="0" xfId="0" applyFont="1" applyFill="1" applyAlignment="1">
      <alignment vertical="center"/>
    </xf>
    <xf numFmtId="9" fontId="165" fillId="35" borderId="0" xfId="718" applyFont="1" applyFill="1" applyBorder="1" applyAlignment="1" applyProtection="1">
      <alignment vertical="center"/>
    </xf>
    <xf numFmtId="166" fontId="165" fillId="35" borderId="0" xfId="718" applyNumberFormat="1" applyFont="1" applyFill="1" applyBorder="1" applyAlignment="1" applyProtection="1">
      <alignment horizontal="center" vertical="center"/>
    </xf>
    <xf numFmtId="0" fontId="165" fillId="0" borderId="1" xfId="0" applyFont="1" applyBorder="1" applyAlignment="1">
      <alignment horizontal="left" vertical="center"/>
    </xf>
    <xf numFmtId="0" fontId="165" fillId="35" borderId="1" xfId="0" applyFont="1" applyFill="1" applyBorder="1" applyAlignment="1">
      <alignment vertical="center"/>
    </xf>
    <xf numFmtId="9" fontId="165" fillId="35" borderId="1" xfId="718" applyFont="1" applyFill="1" applyBorder="1" applyAlignment="1" applyProtection="1">
      <alignment vertical="center"/>
    </xf>
    <xf numFmtId="169" fontId="165" fillId="35" borderId="1" xfId="718" applyNumberFormat="1" applyFont="1" applyFill="1" applyBorder="1" applyAlignment="1" applyProtection="1">
      <alignment horizontal="center" vertical="center"/>
    </xf>
    <xf numFmtId="166" fontId="165" fillId="35" borderId="1" xfId="718" applyNumberFormat="1" applyFont="1" applyFill="1" applyBorder="1" applyAlignment="1" applyProtection="1">
      <alignment horizontal="center" vertical="center"/>
    </xf>
    <xf numFmtId="0" fontId="170" fillId="0" borderId="0" xfId="0" applyFont="1" applyAlignment="1">
      <alignment horizontal="right" indent="1"/>
    </xf>
    <xf numFmtId="0" fontId="170" fillId="0" borderId="0" xfId="0" applyFont="1" applyAlignment="1">
      <alignment vertical="top"/>
    </xf>
    <xf numFmtId="0" fontId="170" fillId="0" borderId="0" xfId="0" applyFont="1" applyAlignment="1">
      <alignment horizontal="right" vertical="top" indent="1"/>
    </xf>
    <xf numFmtId="0" fontId="170" fillId="0" borderId="0" xfId="0" applyFont="1" applyAlignment="1">
      <alignment vertical="center"/>
    </xf>
    <xf numFmtId="10" fontId="112" fillId="0" borderId="0" xfId="718" applyNumberFormat="1" applyFont="1" applyFill="1" applyBorder="1" applyAlignment="1" applyProtection="1">
      <alignment horizontal="center" vertical="center"/>
    </xf>
    <xf numFmtId="0" fontId="112" fillId="0" borderId="0" xfId="0" applyFont="1" applyAlignment="1">
      <alignment horizontal="right" vertical="center"/>
    </xf>
    <xf numFmtId="0" fontId="112" fillId="0" borderId="0" xfId="0" applyFont="1" applyAlignment="1">
      <alignment vertical="center"/>
    </xf>
    <xf numFmtId="0" fontId="176" fillId="36" borderId="1" xfId="0" applyFont="1" applyFill="1" applyBorder="1" applyAlignment="1">
      <alignment vertical="center"/>
    </xf>
    <xf numFmtId="0" fontId="176" fillId="36" borderId="1" xfId="0" applyFont="1" applyFill="1" applyBorder="1" applyAlignment="1">
      <alignment horizontal="center" vertical="center"/>
    </xf>
    <xf numFmtId="0" fontId="177" fillId="0" borderId="0" xfId="0" applyFont="1" applyAlignment="1">
      <alignment vertical="center"/>
    </xf>
    <xf numFmtId="10" fontId="165" fillId="0" borderId="0" xfId="718" applyNumberFormat="1" applyFont="1" applyFill="1" applyBorder="1" applyAlignment="1" applyProtection="1">
      <alignment horizontal="center" vertical="center"/>
      <protection hidden="1"/>
    </xf>
    <xf numFmtId="1" fontId="165" fillId="0" borderId="0" xfId="718" applyNumberFormat="1" applyFont="1" applyFill="1" applyBorder="1" applyAlignment="1" applyProtection="1">
      <alignment horizontal="center" vertical="center"/>
      <protection hidden="1"/>
    </xf>
    <xf numFmtId="10" fontId="112" fillId="0" borderId="0" xfId="718" applyNumberFormat="1" applyFont="1" applyFill="1" applyBorder="1" applyAlignment="1" applyProtection="1">
      <alignment horizontal="right" vertical="center"/>
    </xf>
    <xf numFmtId="0" fontId="112" fillId="0" borderId="0" xfId="0" applyFont="1" applyAlignment="1">
      <alignment horizontal="left" vertical="center"/>
    </xf>
    <xf numFmtId="10" fontId="112" fillId="0" borderId="0" xfId="718" applyNumberFormat="1" applyFont="1" applyBorder="1" applyAlignment="1" applyProtection="1">
      <alignment vertical="center"/>
    </xf>
    <xf numFmtId="9" fontId="165" fillId="0" borderId="0" xfId="718" applyFont="1" applyFill="1" applyBorder="1" applyAlignment="1" applyProtection="1">
      <alignment horizontal="center" vertical="center"/>
      <protection hidden="1"/>
    </xf>
    <xf numFmtId="166" fontId="165" fillId="0" borderId="0" xfId="718" applyNumberFormat="1" applyFont="1" applyFill="1" applyBorder="1" applyAlignment="1" applyProtection="1">
      <alignment horizontal="center" vertical="center"/>
      <protection hidden="1"/>
    </xf>
    <xf numFmtId="166" fontId="165" fillId="0" borderId="1" xfId="718" applyNumberFormat="1" applyFont="1" applyFill="1" applyBorder="1" applyAlignment="1" applyProtection="1">
      <alignment horizontal="center" vertical="center"/>
      <protection hidden="1"/>
    </xf>
    <xf numFmtId="0" fontId="172" fillId="0" borderId="0" xfId="0" applyFont="1" applyAlignment="1">
      <alignment horizontal="left" vertical="center" indent="1"/>
    </xf>
    <xf numFmtId="166" fontId="165" fillId="0" borderId="0" xfId="718" applyNumberFormat="1" applyFont="1" applyFill="1" applyBorder="1" applyAlignment="1" applyProtection="1">
      <alignment horizontal="right" vertical="center" indent="1"/>
    </xf>
    <xf numFmtId="0" fontId="174" fillId="0" borderId="0" xfId="0" applyFont="1" applyAlignment="1">
      <alignment horizontal="left" vertical="center" indent="1"/>
    </xf>
    <xf numFmtId="0" fontId="112" fillId="0" borderId="0" xfId="0" applyFont="1" applyAlignment="1">
      <alignment horizontal="left" vertical="center" indent="1"/>
    </xf>
    <xf numFmtId="166" fontId="112" fillId="0" borderId="0" xfId="718" applyNumberFormat="1" applyFont="1" applyFill="1" applyBorder="1" applyAlignment="1" applyProtection="1">
      <alignment horizontal="right" vertical="center" indent="1"/>
    </xf>
    <xf numFmtId="3" fontId="165" fillId="0" borderId="0" xfId="0" applyNumberFormat="1" applyFont="1" applyAlignment="1">
      <alignment horizontal="right" vertical="center" indent="1"/>
    </xf>
    <xf numFmtId="0" fontId="165" fillId="0" borderId="0" xfId="0" applyFont="1" applyAlignment="1">
      <alignment horizontal="left" vertical="center" indent="4"/>
    </xf>
    <xf numFmtId="0" fontId="165" fillId="0" borderId="0" xfId="0" applyFont="1" applyAlignment="1">
      <alignment horizontal="left" vertical="center" indent="7"/>
    </xf>
    <xf numFmtId="49" fontId="165" fillId="0" borderId="0" xfId="0" applyNumberFormat="1" applyFont="1" applyAlignment="1">
      <alignment horizontal="center" vertical="center"/>
    </xf>
    <xf numFmtId="3" fontId="165" fillId="0" borderId="1" xfId="0" applyNumberFormat="1" applyFont="1" applyBorder="1" applyAlignment="1">
      <alignment horizontal="center" vertical="center"/>
    </xf>
    <xf numFmtId="3" fontId="165" fillId="0" borderId="1" xfId="0" applyNumberFormat="1" applyFont="1" applyBorder="1" applyAlignment="1">
      <alignment horizontal="right" vertical="center" indent="1"/>
    </xf>
    <xf numFmtId="0" fontId="165" fillId="0" borderId="1" xfId="0" applyFont="1" applyBorder="1" applyAlignment="1">
      <alignment horizontal="left" vertical="center" indent="4"/>
    </xf>
    <xf numFmtId="0" fontId="165" fillId="0" borderId="1" xfId="0" applyFont="1" applyBorder="1" applyAlignment="1">
      <alignment horizontal="left" vertical="center" indent="7"/>
    </xf>
    <xf numFmtId="1" fontId="165" fillId="0" borderId="1" xfId="0" applyNumberFormat="1" applyFont="1" applyBorder="1" applyAlignment="1">
      <alignment horizontal="center" vertical="center"/>
    </xf>
    <xf numFmtId="0" fontId="175" fillId="38" borderId="0" xfId="0" applyFont="1" applyFill="1" applyAlignment="1" applyProtection="1">
      <alignment horizontal="center" vertical="center"/>
      <protection hidden="1"/>
    </xf>
    <xf numFmtId="0" fontId="175" fillId="38" borderId="1" xfId="0" applyFont="1" applyFill="1" applyBorder="1" applyAlignment="1" applyProtection="1">
      <alignment horizontal="center" vertical="center"/>
      <protection hidden="1"/>
    </xf>
    <xf numFmtId="166" fontId="165" fillId="0" borderId="0" xfId="0" applyNumberFormat="1" applyFont="1" applyAlignment="1" applyProtection="1">
      <alignment horizontal="center" vertical="center"/>
      <protection hidden="1"/>
    </xf>
    <xf numFmtId="169" fontId="165" fillId="0" borderId="0" xfId="0" applyNumberFormat="1" applyFont="1" applyAlignment="1" applyProtection="1">
      <alignment horizontal="center" vertical="center"/>
      <protection hidden="1"/>
    </xf>
    <xf numFmtId="4" fontId="165" fillId="0" borderId="0" xfId="0" applyNumberFormat="1" applyFont="1" applyAlignment="1" applyProtection="1">
      <alignment horizontal="center" vertical="center"/>
      <protection hidden="1"/>
    </xf>
    <xf numFmtId="166" fontId="165" fillId="36" borderId="0" xfId="0" applyNumberFormat="1" applyFont="1" applyFill="1" applyAlignment="1" applyProtection="1">
      <alignment horizontal="center" vertical="center"/>
      <protection hidden="1"/>
    </xf>
    <xf numFmtId="10" fontId="165" fillId="36" borderId="0" xfId="718" applyNumberFormat="1" applyFont="1" applyFill="1" applyBorder="1" applyAlignment="1" applyProtection="1">
      <alignment horizontal="center" vertical="center"/>
      <protection hidden="1"/>
    </xf>
    <xf numFmtId="169" fontId="165" fillId="36" borderId="0" xfId="0" applyNumberFormat="1" applyFont="1" applyFill="1" applyAlignment="1" applyProtection="1">
      <alignment horizontal="center" vertical="center"/>
      <protection hidden="1"/>
    </xf>
    <xf numFmtId="4" fontId="165" fillId="36" borderId="0" xfId="0" applyNumberFormat="1" applyFont="1" applyFill="1" applyAlignment="1" applyProtection="1">
      <alignment horizontal="center" vertical="center"/>
      <protection hidden="1"/>
    </xf>
    <xf numFmtId="10" fontId="165" fillId="37" borderId="0" xfId="718" applyNumberFormat="1" applyFont="1" applyFill="1" applyBorder="1" applyAlignment="1" applyProtection="1">
      <alignment horizontal="center" vertical="center"/>
      <protection hidden="1"/>
    </xf>
    <xf numFmtId="10" fontId="165" fillId="37" borderId="0" xfId="718" quotePrefix="1" applyNumberFormat="1" applyFont="1" applyFill="1" applyBorder="1" applyAlignment="1" applyProtection="1">
      <alignment horizontal="center" vertical="center"/>
      <protection hidden="1"/>
    </xf>
    <xf numFmtId="169" fontId="165" fillId="37" borderId="0" xfId="718" applyNumberFormat="1" applyFont="1" applyFill="1" applyBorder="1" applyAlignment="1" applyProtection="1">
      <alignment horizontal="center" vertical="center"/>
      <protection hidden="1"/>
    </xf>
    <xf numFmtId="166" fontId="165" fillId="37" borderId="0" xfId="718" applyNumberFormat="1" applyFont="1" applyFill="1" applyBorder="1" applyAlignment="1" applyProtection="1">
      <alignment horizontal="center" vertical="center"/>
      <protection hidden="1"/>
    </xf>
    <xf numFmtId="4" fontId="165" fillId="37" borderId="0" xfId="718" applyNumberFormat="1" applyFont="1" applyFill="1" applyBorder="1" applyAlignment="1" applyProtection="1">
      <alignment horizontal="center" vertical="center"/>
      <protection hidden="1"/>
    </xf>
    <xf numFmtId="166" fontId="112" fillId="0" borderId="0" xfId="0" applyNumberFormat="1" applyFont="1" applyAlignment="1">
      <alignment horizontal="center" vertical="center"/>
    </xf>
    <xf numFmtId="169" fontId="112" fillId="0" borderId="0" xfId="0" applyNumberFormat="1" applyFont="1" applyAlignment="1">
      <alignment horizontal="center" vertical="center"/>
    </xf>
    <xf numFmtId="0" fontId="112" fillId="0" borderId="0" xfId="0" applyFont="1" applyAlignment="1">
      <alignment horizontal="center" vertical="center"/>
    </xf>
    <xf numFmtId="0" fontId="170" fillId="0" borderId="0" xfId="0" applyFont="1" applyAlignment="1">
      <alignment horizontal="center" vertical="center"/>
    </xf>
    <xf numFmtId="0" fontId="162" fillId="36" borderId="1" xfId="0" applyFont="1" applyFill="1" applyBorder="1" applyAlignment="1">
      <alignment horizontal="left" vertical="center"/>
    </xf>
    <xf numFmtId="0" fontId="178" fillId="36" borderId="1" xfId="0" applyFont="1" applyFill="1" applyBorder="1" applyAlignment="1">
      <alignment vertical="center"/>
    </xf>
    <xf numFmtId="0" fontId="179" fillId="6" borderId="0" xfId="0" applyFont="1" applyFill="1" applyAlignment="1">
      <alignment vertical="center"/>
    </xf>
    <xf numFmtId="0" fontId="167" fillId="36" borderId="1" xfId="0" applyFont="1" applyFill="1" applyBorder="1" applyAlignment="1">
      <alignment horizontal="right" vertical="center" indent="1"/>
    </xf>
    <xf numFmtId="0" fontId="180" fillId="6" borderId="0" xfId="0" applyFont="1" applyFill="1" applyAlignment="1">
      <alignment horizontal="right" vertical="center"/>
    </xf>
    <xf numFmtId="0" fontId="163" fillId="6" borderId="0" xfId="0" applyFont="1" applyFill="1" applyAlignment="1">
      <alignment horizontal="left" vertical="center"/>
    </xf>
    <xf numFmtId="166" fontId="163" fillId="0" borderId="0" xfId="96" applyNumberFormat="1" applyFont="1" applyBorder="1" applyAlignment="1" applyProtection="1">
      <alignment horizontal="center" vertical="center"/>
    </xf>
    <xf numFmtId="0" fontId="163" fillId="39" borderId="0" xfId="820" applyFont="1" applyBorder="1" applyAlignment="1" applyProtection="1">
      <alignment horizontal="center" vertical="center"/>
      <protection locked="0"/>
    </xf>
    <xf numFmtId="166" fontId="163" fillId="39" borderId="0" xfId="820" applyNumberFormat="1" applyFont="1" applyBorder="1" applyAlignment="1" applyProtection="1">
      <alignment horizontal="center" vertical="center"/>
      <protection locked="0"/>
    </xf>
    <xf numFmtId="0" fontId="163" fillId="0" borderId="0" xfId="0" applyFont="1" applyAlignment="1">
      <alignment horizontal="left" vertical="center"/>
    </xf>
    <xf numFmtId="0" fontId="163" fillId="6" borderId="0" xfId="0" applyFont="1" applyFill="1" applyAlignment="1" applyProtection="1">
      <alignment horizontal="left" vertical="center"/>
      <protection hidden="1"/>
    </xf>
    <xf numFmtId="0" fontId="163" fillId="0" borderId="1" xfId="0" applyFont="1" applyBorder="1" applyAlignment="1">
      <alignment horizontal="left" vertical="center"/>
    </xf>
    <xf numFmtId="166" fontId="163" fillId="0" borderId="1" xfId="96" applyNumberFormat="1" applyFont="1" applyFill="1" applyBorder="1" applyAlignment="1" applyProtection="1">
      <alignment horizontal="center" vertical="center"/>
    </xf>
    <xf numFmtId="0" fontId="163" fillId="6" borderId="1" xfId="0" applyFont="1" applyFill="1" applyBorder="1" applyAlignment="1">
      <alignment horizontal="left" vertical="center"/>
    </xf>
    <xf numFmtId="0" fontId="179" fillId="0" borderId="0" xfId="0" applyFont="1"/>
    <xf numFmtId="0" fontId="179" fillId="6" borderId="0" xfId="0" applyFont="1" applyFill="1"/>
    <xf numFmtId="0" fontId="180" fillId="6" borderId="0" xfId="0" applyFont="1" applyFill="1" applyAlignment="1">
      <alignment horizontal="right"/>
    </xf>
    <xf numFmtId="0" fontId="167" fillId="37" borderId="0" xfId="0" applyFont="1" applyFill="1" applyAlignment="1">
      <alignment vertical="center"/>
    </xf>
    <xf numFmtId="0" fontId="167" fillId="39" borderId="0" xfId="0" applyFont="1" applyFill="1" applyAlignment="1" applyProtection="1">
      <alignment horizontal="right" vertical="center" indent="1"/>
      <protection locked="0"/>
    </xf>
    <xf numFmtId="0" fontId="167" fillId="37" borderId="0" xfId="0" applyFont="1" applyFill="1" applyAlignment="1">
      <alignment horizontal="right" vertical="center" indent="1"/>
    </xf>
    <xf numFmtId="0" fontId="163" fillId="0" borderId="0" xfId="0" applyFont="1" applyAlignment="1">
      <alignment horizontal="left" vertical="center" indent="2"/>
    </xf>
    <xf numFmtId="0" fontId="163" fillId="39" borderId="0" xfId="0" applyFont="1" applyFill="1" applyAlignment="1" applyProtection="1">
      <alignment horizontal="right" vertical="center" indent="1"/>
      <protection locked="0"/>
    </xf>
    <xf numFmtId="0" fontId="163" fillId="39" borderId="0" xfId="0" applyFont="1" applyFill="1" applyAlignment="1" applyProtection="1">
      <alignment horizontal="right" vertical="center" wrapText="1" indent="1"/>
      <protection locked="0"/>
    </xf>
    <xf numFmtId="0" fontId="163" fillId="0" borderId="0" xfId="0" applyFont="1" applyAlignment="1">
      <alignment horizontal="right" vertical="center" wrapText="1" indent="1"/>
    </xf>
    <xf numFmtId="0" fontId="163" fillId="0" borderId="0" xfId="0" applyFont="1" applyAlignment="1">
      <alignment horizontal="right" vertical="center" indent="1"/>
    </xf>
    <xf numFmtId="0" fontId="167" fillId="37" borderId="23" xfId="0" applyFont="1" applyFill="1" applyBorder="1" applyAlignment="1">
      <alignment vertical="center"/>
    </xf>
    <xf numFmtId="166" fontId="167" fillId="39" borderId="23" xfId="0" applyNumberFormat="1" applyFont="1" applyFill="1" applyBorder="1" applyAlignment="1" applyProtection="1">
      <alignment horizontal="right" vertical="center" indent="1"/>
      <protection locked="0"/>
    </xf>
    <xf numFmtId="166" fontId="167" fillId="37" borderId="23" xfId="0" applyNumberFormat="1" applyFont="1" applyFill="1" applyBorder="1" applyAlignment="1">
      <alignment horizontal="right" vertical="center" indent="1"/>
    </xf>
    <xf numFmtId="0" fontId="163" fillId="0" borderId="0" xfId="0" applyFont="1" applyAlignment="1">
      <alignment horizontal="left" vertical="center" indent="1"/>
    </xf>
    <xf numFmtId="10" fontId="163" fillId="0" borderId="0" xfId="0" applyNumberFormat="1" applyFont="1" applyAlignment="1">
      <alignment horizontal="right" vertical="center" indent="1"/>
    </xf>
    <xf numFmtId="10" fontId="163" fillId="39" borderId="0" xfId="0" applyNumberFormat="1" applyFont="1" applyFill="1" applyAlignment="1" applyProtection="1">
      <alignment horizontal="right" vertical="center" indent="1"/>
      <protection locked="0"/>
    </xf>
    <xf numFmtId="166" fontId="163" fillId="0" borderId="0" xfId="0" applyNumberFormat="1" applyFont="1" applyAlignment="1">
      <alignment horizontal="right" vertical="center" indent="1"/>
    </xf>
    <xf numFmtId="0" fontId="163" fillId="37" borderId="0" xfId="0" applyFont="1" applyFill="1" applyAlignment="1">
      <alignment horizontal="left" vertical="center" indent="1"/>
    </xf>
    <xf numFmtId="166" fontId="163" fillId="39" borderId="0" xfId="0" applyNumberFormat="1" applyFont="1" applyFill="1" applyAlignment="1" applyProtection="1">
      <alignment horizontal="right" vertical="center" indent="1"/>
      <protection locked="0"/>
    </xf>
    <xf numFmtId="166" fontId="163" fillId="37" borderId="0" xfId="0" applyNumberFormat="1" applyFont="1" applyFill="1" applyAlignment="1">
      <alignment horizontal="right" vertical="center" indent="1"/>
    </xf>
    <xf numFmtId="0" fontId="163" fillId="37" borderId="79" xfId="0" applyFont="1" applyFill="1" applyBorder="1" applyAlignment="1">
      <alignment horizontal="left" vertical="center" indent="1"/>
    </xf>
    <xf numFmtId="166" fontId="163" fillId="37" borderId="79" xfId="0" applyNumberFormat="1" applyFont="1" applyFill="1" applyBorder="1" applyAlignment="1">
      <alignment horizontal="right" vertical="center" indent="1"/>
    </xf>
    <xf numFmtId="0" fontId="167" fillId="27" borderId="79" xfId="0" applyFont="1" applyFill="1" applyBorder="1" applyAlignment="1">
      <alignment horizontal="left" vertical="center" indent="1"/>
    </xf>
    <xf numFmtId="10" fontId="167" fillId="27" borderId="79" xfId="0" applyNumberFormat="1" applyFont="1" applyFill="1" applyBorder="1" applyAlignment="1">
      <alignment horizontal="right" vertical="center" indent="1"/>
    </xf>
    <xf numFmtId="0" fontId="181" fillId="0" borderId="0" xfId="0" applyFont="1"/>
    <xf numFmtId="0" fontId="0" fillId="0" borderId="0" xfId="0" applyAlignment="1">
      <alignment horizontal="center"/>
    </xf>
    <xf numFmtId="166" fontId="0" fillId="0" borderId="0" xfId="0" applyNumberFormat="1" applyAlignment="1">
      <alignment horizontal="center"/>
    </xf>
    <xf numFmtId="0" fontId="0" fillId="0" borderId="1" xfId="0" applyBorder="1"/>
    <xf numFmtId="0" fontId="6" fillId="39" borderId="0" xfId="820" quotePrefix="1" applyFont="1" applyBorder="1" applyAlignment="1" applyProtection="1">
      <alignment horizontal="center"/>
      <protection locked="0"/>
    </xf>
    <xf numFmtId="0" fontId="0" fillId="39" borderId="0" xfId="820" applyFont="1" applyBorder="1" applyAlignment="1" applyProtection="1">
      <protection locked="0"/>
    </xf>
    <xf numFmtId="3" fontId="6" fillId="39" borderId="0" xfId="820" applyNumberFormat="1" applyFont="1" applyBorder="1" applyAlignment="1" applyProtection="1">
      <alignment horizontal="left"/>
      <protection locked="0"/>
    </xf>
    <xf numFmtId="166" fontId="6" fillId="39" borderId="0" xfId="820" applyNumberFormat="1" applyFont="1" applyBorder="1" applyAlignment="1" applyProtection="1">
      <alignment horizontal="center"/>
      <protection locked="0"/>
    </xf>
    <xf numFmtId="0" fontId="0" fillId="39" borderId="0" xfId="820" applyFont="1" applyBorder="1" applyAlignment="1" applyProtection="1">
      <alignment horizontal="center"/>
      <protection locked="0"/>
    </xf>
    <xf numFmtId="3" fontId="0" fillId="39" borderId="0" xfId="820" applyNumberFormat="1" applyFont="1" applyBorder="1" applyAlignment="1" applyProtection="1">
      <alignment horizontal="left"/>
      <protection locked="0"/>
    </xf>
    <xf numFmtId="166" fontId="0" fillId="39" borderId="0" xfId="820" applyNumberFormat="1" applyFont="1" applyBorder="1" applyAlignment="1" applyProtection="1">
      <alignment horizontal="center"/>
      <protection locked="0"/>
    </xf>
    <xf numFmtId="171" fontId="151" fillId="39" borderId="0" xfId="718" applyNumberFormat="1" applyFont="1" applyFill="1" applyBorder="1" applyAlignment="1" applyProtection="1">
      <alignment horizontal="center" vertical="center"/>
      <protection locked="0"/>
    </xf>
    <xf numFmtId="37" fontId="163" fillId="41" borderId="0" xfId="820" applyNumberFormat="1" applyFont="1" applyFill="1" applyBorder="1" applyAlignment="1" applyProtection="1">
      <alignment horizontal="center" vertical="center"/>
    </xf>
    <xf numFmtId="38" fontId="183" fillId="0" borderId="0" xfId="715" applyNumberFormat="1" applyFont="1" applyAlignment="1">
      <alignment horizontal="left" vertical="center"/>
    </xf>
    <xf numFmtId="186" fontId="165" fillId="6" borderId="10" xfId="718" applyNumberFormat="1" applyFont="1" applyFill="1" applyBorder="1" applyAlignment="1" applyProtection="1">
      <alignment horizontal="right" vertical="top" indent="1"/>
    </xf>
    <xf numFmtId="186" fontId="165" fillId="6" borderId="83" xfId="718" applyNumberFormat="1" applyFont="1" applyFill="1" applyBorder="1" applyAlignment="1" applyProtection="1">
      <alignment horizontal="right" vertical="top" indent="1"/>
    </xf>
    <xf numFmtId="186" fontId="165" fillId="6" borderId="84" xfId="718" applyNumberFormat="1" applyFont="1" applyFill="1" applyBorder="1" applyAlignment="1" applyProtection="1">
      <alignment horizontal="right" vertical="top" indent="1"/>
    </xf>
    <xf numFmtId="0" fontId="165" fillId="39" borderId="10" xfId="820" applyFont="1" applyBorder="1" applyAlignment="1" applyProtection="1">
      <alignment horizontal="left" vertical="center" wrapText="1" indent="1"/>
      <protection locked="0"/>
    </xf>
    <xf numFmtId="0" fontId="165" fillId="39" borderId="83" xfId="820" applyFont="1" applyBorder="1" applyAlignment="1" applyProtection="1">
      <alignment horizontal="left" vertical="center" wrapText="1" indent="1"/>
      <protection locked="0"/>
    </xf>
    <xf numFmtId="0" fontId="165" fillId="39" borderId="84" xfId="820" applyFont="1" applyBorder="1" applyAlignment="1" applyProtection="1">
      <alignment horizontal="left" vertical="center" wrapText="1" indent="1"/>
      <protection locked="0"/>
    </xf>
    <xf numFmtId="0" fontId="164" fillId="36" borderId="0" xfId="0" applyFont="1" applyFill="1" applyAlignment="1">
      <alignment horizontal="center" vertical="center" wrapText="1"/>
    </xf>
    <xf numFmtId="0" fontId="164" fillId="36" borderId="1" xfId="0" applyFont="1" applyFill="1" applyBorder="1" applyAlignment="1">
      <alignment horizontal="center" vertical="center" wrapText="1"/>
    </xf>
    <xf numFmtId="0" fontId="120" fillId="0" borderId="0" xfId="0" applyFont="1" applyAlignment="1">
      <alignment vertical="center"/>
    </xf>
    <xf numFmtId="166" fontId="165" fillId="37" borderId="0" xfId="0" applyNumberFormat="1" applyFont="1" applyFill="1" applyAlignment="1">
      <alignment horizontal="center" vertical="center"/>
    </xf>
    <xf numFmtId="0" fontId="85" fillId="21" borderId="0" xfId="0" applyFont="1" applyFill="1" applyAlignment="1">
      <alignment horizontal="center"/>
    </xf>
    <xf numFmtId="0" fontId="85" fillId="19" borderId="0" xfId="0" applyFont="1" applyFill="1" applyAlignment="1">
      <alignment horizontal="center"/>
    </xf>
    <xf numFmtId="0" fontId="79" fillId="9" borderId="11" xfId="0" applyFont="1" applyFill="1" applyBorder="1" applyAlignment="1">
      <alignment horizontal="center"/>
    </xf>
    <xf numFmtId="0" fontId="79" fillId="9" borderId="12" xfId="0" applyFont="1" applyFill="1" applyBorder="1" applyAlignment="1">
      <alignment horizontal="center"/>
    </xf>
    <xf numFmtId="0" fontId="79" fillId="9" borderId="10" xfId="0" applyFont="1" applyFill="1" applyBorder="1" applyAlignment="1">
      <alignment horizontal="center"/>
    </xf>
    <xf numFmtId="0" fontId="79" fillId="9" borderId="1" xfId="0" applyFont="1" applyFill="1" applyBorder="1" applyAlignment="1">
      <alignment horizontal="center"/>
    </xf>
    <xf numFmtId="0" fontId="0" fillId="39" borderId="71" xfId="0" applyFill="1" applyBorder="1" applyAlignment="1" applyProtection="1">
      <alignment horizontal="center" vertical="center"/>
      <protection locked="0"/>
    </xf>
    <xf numFmtId="0" fontId="0" fillId="39" borderId="72" xfId="0" applyFill="1" applyBorder="1" applyAlignment="1" applyProtection="1">
      <alignment horizontal="center" vertical="center"/>
      <protection locked="0"/>
    </xf>
    <xf numFmtId="0" fontId="0" fillId="39" borderId="63" xfId="0" applyFill="1" applyBorder="1" applyAlignment="1" applyProtection="1">
      <alignment horizontal="center" vertical="center"/>
      <protection locked="0"/>
    </xf>
    <xf numFmtId="0" fontId="0" fillId="39" borderId="64" xfId="0" applyFill="1" applyBorder="1" applyAlignment="1" applyProtection="1">
      <alignment horizontal="center" vertical="center"/>
      <protection locked="0"/>
    </xf>
    <xf numFmtId="0" fontId="137" fillId="39" borderId="75" xfId="820" applyBorder="1" applyAlignment="1" applyProtection="1">
      <alignment horizontal="left" vertical="center"/>
      <protection locked="0"/>
    </xf>
    <xf numFmtId="0" fontId="137" fillId="39" borderId="74" xfId="820" applyBorder="1" applyAlignment="1" applyProtection="1">
      <alignment horizontal="left" vertical="center"/>
      <protection locked="0"/>
    </xf>
    <xf numFmtId="0" fontId="107" fillId="32" borderId="0" xfId="0" applyFont="1" applyFill="1" applyAlignment="1">
      <alignment horizontal="center"/>
    </xf>
    <xf numFmtId="0" fontId="137" fillId="39" borderId="76" xfId="820" applyBorder="1" applyAlignment="1" applyProtection="1">
      <alignment horizontal="left" vertical="center"/>
      <protection locked="0"/>
    </xf>
    <xf numFmtId="0" fontId="104" fillId="0" borderId="0" xfId="0" applyFont="1"/>
    <xf numFmtId="0" fontId="115" fillId="0" borderId="0" xfId="0" applyFont="1"/>
    <xf numFmtId="0" fontId="164" fillId="37" borderId="1" xfId="0" applyFont="1" applyFill="1" applyBorder="1" applyAlignment="1">
      <alignment horizontal="center"/>
    </xf>
    <xf numFmtId="0" fontId="164" fillId="35" borderId="1" xfId="0" applyFont="1" applyFill="1" applyBorder="1" applyAlignment="1">
      <alignment horizontal="center"/>
    </xf>
    <xf numFmtId="0" fontId="164" fillId="36" borderId="1" xfId="0" applyFont="1" applyFill="1" applyBorder="1" applyAlignment="1">
      <alignment horizontal="center"/>
    </xf>
    <xf numFmtId="0" fontId="110" fillId="0" borderId="0" xfId="0" applyFont="1"/>
    <xf numFmtId="0" fontId="137" fillId="39" borderId="77" xfId="820" applyBorder="1" applyAlignment="1" applyProtection="1">
      <alignment horizontal="left" vertical="center"/>
      <protection locked="0"/>
    </xf>
    <xf numFmtId="0" fontId="163" fillId="39" borderId="1" xfId="820" applyFont="1" applyBorder="1" applyAlignment="1" applyProtection="1">
      <alignment vertical="center"/>
      <protection locked="0"/>
    </xf>
    <xf numFmtId="0" fontId="163" fillId="39" borderId="0" xfId="820" applyFont="1" applyBorder="1" applyAlignment="1" applyProtection="1">
      <alignment vertical="center"/>
      <protection locked="0"/>
    </xf>
    <xf numFmtId="0" fontId="151" fillId="0" borderId="10" xfId="0" applyFont="1" applyBorder="1" applyAlignment="1">
      <alignment horizontal="center" vertical="center" textRotation="90"/>
    </xf>
    <xf numFmtId="0" fontId="151" fillId="0" borderId="0" xfId="0" applyFont="1" applyAlignment="1">
      <alignment horizontal="center" vertical="center" textRotation="90"/>
    </xf>
    <xf numFmtId="0" fontId="151" fillId="0" borderId="1" xfId="0" applyFont="1" applyBorder="1" applyAlignment="1">
      <alignment horizontal="center" vertical="center" textRotation="90"/>
    </xf>
    <xf numFmtId="37" fontId="151" fillId="0" borderId="10" xfId="0" applyNumberFormat="1" applyFont="1" applyBorder="1" applyAlignment="1">
      <alignment horizontal="left" vertical="center"/>
    </xf>
    <xf numFmtId="37" fontId="151" fillId="0" borderId="1" xfId="0" applyNumberFormat="1" applyFont="1" applyBorder="1" applyAlignment="1">
      <alignment horizontal="left" vertical="center"/>
    </xf>
    <xf numFmtId="0" fontId="151" fillId="39" borderId="10" xfId="820" applyFont="1" applyBorder="1" applyAlignment="1" applyProtection="1">
      <alignment horizontal="center" vertical="center"/>
    </xf>
    <xf numFmtId="0" fontId="151" fillId="39" borderId="1" xfId="820" applyFont="1" applyBorder="1" applyAlignment="1" applyProtection="1">
      <alignment horizontal="center" vertical="center"/>
    </xf>
    <xf numFmtId="0" fontId="164" fillId="36" borderId="0" xfId="0" applyFont="1" applyFill="1" applyAlignment="1">
      <alignment vertical="center"/>
    </xf>
    <xf numFmtId="0" fontId="164" fillId="36" borderId="1" xfId="0" applyFont="1" applyFill="1" applyBorder="1" applyAlignment="1">
      <alignment vertical="center"/>
    </xf>
    <xf numFmtId="0" fontId="174" fillId="0" borderId="0" xfId="579" applyFont="1" applyAlignment="1">
      <alignment horizontal="left" vertical="center" indent="1"/>
    </xf>
    <xf numFmtId="0" fontId="173" fillId="0" borderId="0" xfId="0" applyFont="1" applyAlignment="1">
      <alignment horizontal="left" vertical="center" indent="1"/>
    </xf>
    <xf numFmtId="49" fontId="171" fillId="0" borderId="0" xfId="0" applyNumberFormat="1" applyFont="1" applyAlignment="1">
      <alignment horizontal="left" vertical="center" indent="1"/>
    </xf>
    <xf numFmtId="0" fontId="165" fillId="0" borderId="0" xfId="0" applyFont="1" applyAlignment="1">
      <alignment horizontal="left" vertical="center"/>
    </xf>
    <xf numFmtId="0" fontId="89" fillId="9" borderId="0" xfId="0" applyFont="1" applyFill="1" applyAlignment="1">
      <alignment horizontal="left" wrapText="1"/>
    </xf>
    <xf numFmtId="0" fontId="90" fillId="9" borderId="0" xfId="0" applyFont="1" applyFill="1" applyAlignment="1">
      <alignment horizontal="left" wrapText="1"/>
    </xf>
    <xf numFmtId="0" fontId="56" fillId="8" borderId="65" xfId="0" applyFont="1" applyFill="1" applyBorder="1" applyAlignment="1">
      <alignment horizontal="center"/>
    </xf>
    <xf numFmtId="0" fontId="56" fillId="8" borderId="1" xfId="0" applyFont="1" applyFill="1" applyBorder="1" applyAlignment="1">
      <alignment horizontal="center"/>
    </xf>
    <xf numFmtId="0" fontId="56" fillId="8" borderId="0" xfId="0" applyFont="1" applyFill="1" applyAlignment="1">
      <alignment horizontal="center" vertical="center"/>
    </xf>
    <xf numFmtId="0" fontId="58" fillId="39" borderId="63" xfId="820" applyFont="1" applyBorder="1" applyAlignment="1" applyProtection="1">
      <alignment horizontal="center"/>
      <protection locked="0"/>
    </xf>
    <xf numFmtId="0" fontId="58" fillId="39" borderId="64" xfId="820" applyFont="1" applyBorder="1" applyAlignment="1" applyProtection="1">
      <alignment horizontal="center"/>
      <protection locked="0"/>
    </xf>
    <xf numFmtId="0" fontId="85" fillId="24" borderId="0" xfId="0" applyFont="1" applyFill="1" applyAlignment="1">
      <alignment horizontal="center"/>
    </xf>
    <xf numFmtId="166" fontId="61" fillId="39" borderId="65" xfId="820" applyNumberFormat="1" applyFont="1" applyBorder="1" applyAlignment="1" applyProtection="1">
      <alignment horizontal="left"/>
      <protection locked="0"/>
    </xf>
    <xf numFmtId="166" fontId="61" fillId="39" borderId="66" xfId="820" applyNumberFormat="1" applyFont="1" applyBorder="1" applyAlignment="1" applyProtection="1">
      <alignment horizontal="left"/>
      <protection locked="0"/>
    </xf>
    <xf numFmtId="166" fontId="92" fillId="0" borderId="10" xfId="0" applyNumberFormat="1" applyFont="1" applyBorder="1" applyAlignment="1">
      <alignment horizontal="left" vertical="center" wrapText="1"/>
    </xf>
    <xf numFmtId="166" fontId="92" fillId="0" borderId="0" xfId="0" applyNumberFormat="1" applyFont="1" applyAlignment="1">
      <alignment horizontal="left" vertical="center" wrapText="1"/>
    </xf>
    <xf numFmtId="0" fontId="79" fillId="9" borderId="14" xfId="0" applyFont="1" applyFill="1" applyBorder="1" applyAlignment="1">
      <alignment horizontal="center"/>
    </xf>
    <xf numFmtId="0" fontId="79" fillId="9" borderId="13" xfId="0" applyFont="1" applyFill="1" applyBorder="1" applyAlignment="1">
      <alignment horizontal="center"/>
    </xf>
    <xf numFmtId="0" fontId="80" fillId="0" borderId="0" xfId="0" applyFont="1" applyAlignment="1" applyProtection="1">
      <alignment horizontal="left" vertical="top" wrapText="1" indent="1"/>
      <protection hidden="1"/>
    </xf>
    <xf numFmtId="0" fontId="80" fillId="0" borderId="0" xfId="0" applyFont="1" applyAlignment="1">
      <alignment horizontal="left" vertical="top" wrapText="1"/>
    </xf>
    <xf numFmtId="0" fontId="0" fillId="0" borderId="0" xfId="0"/>
    <xf numFmtId="0" fontId="32" fillId="0" borderId="0" xfId="579" applyFont="1" applyAlignment="1">
      <alignment horizontal="left" vertical="center" indent="1"/>
    </xf>
    <xf numFmtId="0" fontId="50" fillId="10" borderId="33" xfId="0" applyFont="1" applyFill="1" applyBorder="1" applyAlignment="1">
      <alignment horizontal="left" vertical="center" indent="1"/>
    </xf>
    <xf numFmtId="0" fontId="49" fillId="10" borderId="33" xfId="579" applyFont="1" applyFill="1" applyBorder="1" applyAlignment="1">
      <alignment horizontal="left" vertical="center" indent="1"/>
    </xf>
    <xf numFmtId="0" fontId="29" fillId="0" borderId="0" xfId="0" applyFont="1" applyAlignment="1">
      <alignment horizontal="left" vertical="center" indent="1"/>
    </xf>
    <xf numFmtId="49" fontId="28" fillId="0" borderId="0" xfId="0" applyNumberFormat="1" applyFont="1" applyAlignment="1">
      <alignment horizontal="left" vertical="center" indent="1"/>
    </xf>
    <xf numFmtId="0" fontId="50" fillId="10" borderId="33" xfId="0" applyFont="1" applyFill="1" applyBorder="1" applyAlignment="1">
      <alignment horizontal="center" vertical="center"/>
    </xf>
    <xf numFmtId="0" fontId="28" fillId="0" borderId="23" xfId="0" applyFont="1" applyBorder="1" applyAlignment="1">
      <alignment horizontal="left" vertical="center"/>
    </xf>
    <xf numFmtId="3" fontId="28" fillId="0" borderId="0" xfId="0" applyNumberFormat="1" applyFont="1" applyAlignment="1">
      <alignment horizontal="left" vertical="center"/>
    </xf>
    <xf numFmtId="0" fontId="50" fillId="10" borderId="33" xfId="0" applyFont="1" applyFill="1" applyBorder="1" applyAlignment="1">
      <alignment horizontal="left" vertical="center"/>
    </xf>
    <xf numFmtId="0" fontId="140" fillId="0" borderId="0" xfId="0" applyFont="1" applyAlignment="1">
      <alignment horizontal="center" vertical="center"/>
    </xf>
    <xf numFmtId="0" fontId="127" fillId="36" borderId="1" xfId="0" applyFont="1" applyFill="1" applyBorder="1" applyAlignment="1">
      <alignment vertical="center"/>
    </xf>
    <xf numFmtId="0" fontId="127" fillId="36" borderId="33" xfId="0" applyFont="1" applyFill="1" applyBorder="1" applyAlignment="1">
      <alignment vertical="center"/>
    </xf>
    <xf numFmtId="0" fontId="127" fillId="36" borderId="0" xfId="0" applyFont="1" applyFill="1" applyAlignment="1">
      <alignment horizontal="center" vertical="center" wrapText="1"/>
    </xf>
    <xf numFmtId="166" fontId="137" fillId="35" borderId="0" xfId="0" applyNumberFormat="1" applyFont="1" applyFill="1" applyAlignment="1">
      <alignment horizontal="center" vertical="center"/>
    </xf>
    <xf numFmtId="166" fontId="110" fillId="35" borderId="0" xfId="0" applyNumberFormat="1" applyFont="1" applyFill="1" applyAlignment="1">
      <alignment horizontal="center" vertical="center"/>
    </xf>
    <xf numFmtId="0" fontId="162" fillId="36" borderId="1" xfId="0" applyFont="1" applyFill="1" applyBorder="1" applyAlignment="1">
      <alignment horizontal="left" vertical="center"/>
    </xf>
    <xf numFmtId="0" fontId="137" fillId="39" borderId="45" xfId="820" applyBorder="1" applyAlignment="1" applyProtection="1">
      <alignment horizontal="left" vertical="top" wrapText="1"/>
      <protection locked="0"/>
    </xf>
    <xf numFmtId="0" fontId="137" fillId="39" borderId="46" xfId="820" applyBorder="1" applyAlignment="1" applyProtection="1">
      <alignment horizontal="left" vertical="top" wrapText="1"/>
      <protection locked="0"/>
    </xf>
    <xf numFmtId="0" fontId="137" fillId="39" borderId="47" xfId="820" applyBorder="1" applyAlignment="1" applyProtection="1">
      <alignment horizontal="left" vertical="top" wrapText="1"/>
      <protection locked="0"/>
    </xf>
    <xf numFmtId="0" fontId="137" fillId="39" borderId="48" xfId="820" applyBorder="1" applyAlignment="1" applyProtection="1">
      <alignment horizontal="left" vertical="top" wrapText="1"/>
      <protection locked="0"/>
    </xf>
    <xf numFmtId="0" fontId="137" fillId="39" borderId="0" xfId="820" applyBorder="1" applyAlignment="1" applyProtection="1">
      <alignment horizontal="left" vertical="top" wrapText="1"/>
      <protection locked="0"/>
    </xf>
    <xf numFmtId="0" fontId="137" fillId="39" borderId="49" xfId="820" applyBorder="1" applyAlignment="1" applyProtection="1">
      <alignment horizontal="left" vertical="top" wrapText="1"/>
      <protection locked="0"/>
    </xf>
    <xf numFmtId="0" fontId="137" fillId="39" borderId="50" xfId="820" applyBorder="1" applyAlignment="1" applyProtection="1">
      <alignment horizontal="left" vertical="top" wrapText="1"/>
      <protection locked="0"/>
    </xf>
    <xf numFmtId="0" fontId="137" fillId="39" borderId="51" xfId="820" applyBorder="1" applyAlignment="1" applyProtection="1">
      <alignment horizontal="left" vertical="top" wrapText="1"/>
      <protection locked="0"/>
    </xf>
    <xf numFmtId="0" fontId="137" fillId="39" borderId="35" xfId="820" applyBorder="1" applyAlignment="1" applyProtection="1">
      <alignment horizontal="left" vertical="top" wrapText="1"/>
      <protection locked="0"/>
    </xf>
    <xf numFmtId="0" fontId="115" fillId="0" borderId="0" xfId="0" applyFont="1" applyAlignment="1">
      <alignment horizontal="center"/>
    </xf>
    <xf numFmtId="0" fontId="123" fillId="6" borderId="0" xfId="0" applyFont="1" applyFill="1" applyAlignment="1">
      <alignment horizontal="center"/>
    </xf>
    <xf numFmtId="0" fontId="121" fillId="6" borderId="0" xfId="0" applyFont="1" applyFill="1" applyAlignment="1">
      <alignment horizontal="center"/>
    </xf>
  </cellXfs>
  <cellStyles count="828">
    <cellStyle name="£ BP" xfId="1" xr:uid="{00000000-0005-0000-0000-000000000000}"/>
    <cellStyle name="¥ JY" xfId="2" xr:uid="{00000000-0005-0000-0000-000001000000}"/>
    <cellStyle name="A" xfId="3" xr:uid="{00000000-0005-0000-0000-000002000000}"/>
    <cellStyle name="Bold/Border" xfId="4" xr:uid="{00000000-0005-0000-0000-000003000000}"/>
    <cellStyle name="Bullet" xfId="5" xr:uid="{00000000-0005-0000-0000-000004000000}"/>
    <cellStyle name="Calc Currency (0)" xfId="6" xr:uid="{00000000-0005-0000-0000-000005000000}"/>
    <cellStyle name="Calc Currency (2)" xfId="7" xr:uid="{00000000-0005-0000-0000-000006000000}"/>
    <cellStyle name="Calc Percent (0)" xfId="8" xr:uid="{00000000-0005-0000-0000-000007000000}"/>
    <cellStyle name="Calc Percent (1)" xfId="9" xr:uid="{00000000-0005-0000-0000-000008000000}"/>
    <cellStyle name="Calc Percent (2)" xfId="10" xr:uid="{00000000-0005-0000-0000-000009000000}"/>
    <cellStyle name="Calc Units (0)" xfId="11" xr:uid="{00000000-0005-0000-0000-00000A000000}"/>
    <cellStyle name="Calc Units (1)" xfId="12" xr:uid="{00000000-0005-0000-0000-00000B000000}"/>
    <cellStyle name="Calc Units (2)" xfId="13" xr:uid="{00000000-0005-0000-0000-00000C000000}"/>
    <cellStyle name="Comma" xfId="14" builtinId="3"/>
    <cellStyle name="Comma  - Style1" xfId="15" xr:uid="{00000000-0005-0000-0000-00000E000000}"/>
    <cellStyle name="Comma  - Style2" xfId="16" xr:uid="{00000000-0005-0000-0000-00000F000000}"/>
    <cellStyle name="Comma  - Style3" xfId="17" xr:uid="{00000000-0005-0000-0000-000010000000}"/>
    <cellStyle name="Comma  - Style4" xfId="18" xr:uid="{00000000-0005-0000-0000-000011000000}"/>
    <cellStyle name="Comma  - Style5" xfId="19" xr:uid="{00000000-0005-0000-0000-000012000000}"/>
    <cellStyle name="Comma  - Style6" xfId="20" xr:uid="{00000000-0005-0000-0000-000013000000}"/>
    <cellStyle name="Comma  - Style7" xfId="21" xr:uid="{00000000-0005-0000-0000-000014000000}"/>
    <cellStyle name="Comma  - Style8" xfId="22" xr:uid="{00000000-0005-0000-0000-000015000000}"/>
    <cellStyle name="Comma [00]" xfId="23" xr:uid="{00000000-0005-0000-0000-000016000000}"/>
    <cellStyle name="Comma 10" xfId="24" xr:uid="{00000000-0005-0000-0000-000017000000}"/>
    <cellStyle name="Comma 10 2" xfId="25" xr:uid="{00000000-0005-0000-0000-000018000000}"/>
    <cellStyle name="Comma 10 2 2" xfId="26" xr:uid="{00000000-0005-0000-0000-000019000000}"/>
    <cellStyle name="Comma 10 3" xfId="27" xr:uid="{00000000-0005-0000-0000-00001A000000}"/>
    <cellStyle name="Comma 10 4" xfId="28" xr:uid="{00000000-0005-0000-0000-00001B000000}"/>
    <cellStyle name="Comma 10 5" xfId="29" xr:uid="{00000000-0005-0000-0000-00001C000000}"/>
    <cellStyle name="Comma 11" xfId="30" xr:uid="{00000000-0005-0000-0000-00001D000000}"/>
    <cellStyle name="Comma 11 2" xfId="31" xr:uid="{00000000-0005-0000-0000-00001E000000}"/>
    <cellStyle name="Comma 11 2 2" xfId="32" xr:uid="{00000000-0005-0000-0000-00001F000000}"/>
    <cellStyle name="Comma 11 3" xfId="33" xr:uid="{00000000-0005-0000-0000-000020000000}"/>
    <cellStyle name="Comma 11 4" xfId="34" xr:uid="{00000000-0005-0000-0000-000021000000}"/>
    <cellStyle name="Comma 11 5" xfId="35" xr:uid="{00000000-0005-0000-0000-000022000000}"/>
    <cellStyle name="Comma 12" xfId="36" xr:uid="{00000000-0005-0000-0000-000023000000}"/>
    <cellStyle name="Comma 13" xfId="37" xr:uid="{00000000-0005-0000-0000-000024000000}"/>
    <cellStyle name="Comma 14" xfId="38" xr:uid="{00000000-0005-0000-0000-000025000000}"/>
    <cellStyle name="Comma 15" xfId="39" xr:uid="{00000000-0005-0000-0000-000026000000}"/>
    <cellStyle name="Comma 16" xfId="40" xr:uid="{00000000-0005-0000-0000-000027000000}"/>
    <cellStyle name="Comma 17" xfId="41" xr:uid="{00000000-0005-0000-0000-000028000000}"/>
    <cellStyle name="Comma 18" xfId="42" xr:uid="{00000000-0005-0000-0000-000029000000}"/>
    <cellStyle name="Comma 19" xfId="43" xr:uid="{00000000-0005-0000-0000-00002A000000}"/>
    <cellStyle name="Comma 2" xfId="44" xr:uid="{00000000-0005-0000-0000-00002B000000}"/>
    <cellStyle name="Comma 2 2" xfId="45" xr:uid="{00000000-0005-0000-0000-00002C000000}"/>
    <cellStyle name="Comma 2 3" xfId="46" xr:uid="{00000000-0005-0000-0000-00002D000000}"/>
    <cellStyle name="Comma 20" xfId="47" xr:uid="{00000000-0005-0000-0000-00002E000000}"/>
    <cellStyle name="Comma 21" xfId="48" xr:uid="{00000000-0005-0000-0000-00002F000000}"/>
    <cellStyle name="Comma 22" xfId="49" xr:uid="{00000000-0005-0000-0000-000030000000}"/>
    <cellStyle name="Comma 23" xfId="50" xr:uid="{00000000-0005-0000-0000-000031000000}"/>
    <cellStyle name="Comma 24" xfId="51" xr:uid="{00000000-0005-0000-0000-000032000000}"/>
    <cellStyle name="Comma 25" xfId="52" xr:uid="{00000000-0005-0000-0000-000033000000}"/>
    <cellStyle name="Comma 26" xfId="827" xr:uid="{42DF0E8E-48F1-434B-8C8F-5AF7FA19F455}"/>
    <cellStyle name="Comma 3" xfId="53" xr:uid="{00000000-0005-0000-0000-000034000000}"/>
    <cellStyle name="Comma 3 2" xfId="54" xr:uid="{00000000-0005-0000-0000-000035000000}"/>
    <cellStyle name="Comma 3 2 2" xfId="55" xr:uid="{00000000-0005-0000-0000-000036000000}"/>
    <cellStyle name="Comma 3 3" xfId="56" xr:uid="{00000000-0005-0000-0000-000037000000}"/>
    <cellStyle name="Comma 3 4" xfId="57" xr:uid="{00000000-0005-0000-0000-000038000000}"/>
    <cellStyle name="Comma 3 5" xfId="58" xr:uid="{00000000-0005-0000-0000-000039000000}"/>
    <cellStyle name="Comma 4" xfId="59" xr:uid="{00000000-0005-0000-0000-00003A000000}"/>
    <cellStyle name="Comma 4 2" xfId="60" xr:uid="{00000000-0005-0000-0000-00003B000000}"/>
    <cellStyle name="Comma 4 2 2" xfId="61" xr:uid="{00000000-0005-0000-0000-00003C000000}"/>
    <cellStyle name="Comma 4 3" xfId="62" xr:uid="{00000000-0005-0000-0000-00003D000000}"/>
    <cellStyle name="Comma 4 4" xfId="63" xr:uid="{00000000-0005-0000-0000-00003E000000}"/>
    <cellStyle name="Comma 4 5" xfId="64" xr:uid="{00000000-0005-0000-0000-00003F000000}"/>
    <cellStyle name="Comma 5" xfId="65" xr:uid="{00000000-0005-0000-0000-000040000000}"/>
    <cellStyle name="Comma 5 2" xfId="66" xr:uid="{00000000-0005-0000-0000-000041000000}"/>
    <cellStyle name="Comma 5 2 2" xfId="67" xr:uid="{00000000-0005-0000-0000-000042000000}"/>
    <cellStyle name="Comma 5 3" xfId="68" xr:uid="{00000000-0005-0000-0000-000043000000}"/>
    <cellStyle name="Comma 5 4" xfId="69" xr:uid="{00000000-0005-0000-0000-000044000000}"/>
    <cellStyle name="Comma 5 5" xfId="70" xr:uid="{00000000-0005-0000-0000-000045000000}"/>
    <cellStyle name="Comma 6" xfId="71" xr:uid="{00000000-0005-0000-0000-000046000000}"/>
    <cellStyle name="Comma 6 2" xfId="72" xr:uid="{00000000-0005-0000-0000-000047000000}"/>
    <cellStyle name="Comma 6 2 2" xfId="73" xr:uid="{00000000-0005-0000-0000-000048000000}"/>
    <cellStyle name="Comma 6 3" xfId="74" xr:uid="{00000000-0005-0000-0000-000049000000}"/>
    <cellStyle name="Comma 6 4" xfId="75" xr:uid="{00000000-0005-0000-0000-00004A000000}"/>
    <cellStyle name="Comma 6 5" xfId="76" xr:uid="{00000000-0005-0000-0000-00004B000000}"/>
    <cellStyle name="Comma 7" xfId="77" xr:uid="{00000000-0005-0000-0000-00004C000000}"/>
    <cellStyle name="Comma 7 2" xfId="78" xr:uid="{00000000-0005-0000-0000-00004D000000}"/>
    <cellStyle name="Comma 7 2 2" xfId="79" xr:uid="{00000000-0005-0000-0000-00004E000000}"/>
    <cellStyle name="Comma 7 3" xfId="80" xr:uid="{00000000-0005-0000-0000-00004F000000}"/>
    <cellStyle name="Comma 7 4" xfId="81" xr:uid="{00000000-0005-0000-0000-000050000000}"/>
    <cellStyle name="Comma 7 5" xfId="82" xr:uid="{00000000-0005-0000-0000-000051000000}"/>
    <cellStyle name="Comma 8" xfId="83" xr:uid="{00000000-0005-0000-0000-000052000000}"/>
    <cellStyle name="Comma 8 2" xfId="84" xr:uid="{00000000-0005-0000-0000-000053000000}"/>
    <cellStyle name="Comma 8 2 2" xfId="85" xr:uid="{00000000-0005-0000-0000-000054000000}"/>
    <cellStyle name="Comma 8 3" xfId="86" xr:uid="{00000000-0005-0000-0000-000055000000}"/>
    <cellStyle name="Comma 8 4" xfId="87" xr:uid="{00000000-0005-0000-0000-000056000000}"/>
    <cellStyle name="Comma 8 5" xfId="88" xr:uid="{00000000-0005-0000-0000-000057000000}"/>
    <cellStyle name="Comma 9" xfId="89" xr:uid="{00000000-0005-0000-0000-000058000000}"/>
    <cellStyle name="Comma 9 2" xfId="90" xr:uid="{00000000-0005-0000-0000-000059000000}"/>
    <cellStyle name="Comma 9 2 2" xfId="91" xr:uid="{00000000-0005-0000-0000-00005A000000}"/>
    <cellStyle name="Comma 9 3" xfId="92" xr:uid="{00000000-0005-0000-0000-00005B000000}"/>
    <cellStyle name="Comma 9 4" xfId="93" xr:uid="{00000000-0005-0000-0000-00005C000000}"/>
    <cellStyle name="Comma 9 5" xfId="94" xr:uid="{00000000-0005-0000-0000-00005D000000}"/>
    <cellStyle name="Comma0" xfId="95" xr:uid="{00000000-0005-0000-0000-00005E000000}"/>
    <cellStyle name="Currency" xfId="96" builtinId="4"/>
    <cellStyle name="Currency [00]" xfId="97" xr:uid="{00000000-0005-0000-0000-000060000000}"/>
    <cellStyle name="Currency 10" xfId="98" xr:uid="{00000000-0005-0000-0000-000061000000}"/>
    <cellStyle name="Currency 10 2" xfId="99" xr:uid="{00000000-0005-0000-0000-000062000000}"/>
    <cellStyle name="Currency 10 2 2" xfId="100" xr:uid="{00000000-0005-0000-0000-000063000000}"/>
    <cellStyle name="Currency 10 3" xfId="101" xr:uid="{00000000-0005-0000-0000-000064000000}"/>
    <cellStyle name="Currency 10 4" xfId="102" xr:uid="{00000000-0005-0000-0000-000065000000}"/>
    <cellStyle name="Currency 10 5" xfId="103" xr:uid="{00000000-0005-0000-0000-000066000000}"/>
    <cellStyle name="Currency 11" xfId="104" xr:uid="{00000000-0005-0000-0000-000067000000}"/>
    <cellStyle name="Currency 11 2" xfId="105" xr:uid="{00000000-0005-0000-0000-000068000000}"/>
    <cellStyle name="Currency 11 2 2" xfId="106" xr:uid="{00000000-0005-0000-0000-000069000000}"/>
    <cellStyle name="Currency 11 3" xfId="107" xr:uid="{00000000-0005-0000-0000-00006A000000}"/>
    <cellStyle name="Currency 11 4" xfId="108" xr:uid="{00000000-0005-0000-0000-00006B000000}"/>
    <cellStyle name="Currency 11 5" xfId="109" xr:uid="{00000000-0005-0000-0000-00006C000000}"/>
    <cellStyle name="Currency 12" xfId="110" xr:uid="{00000000-0005-0000-0000-00006D000000}"/>
    <cellStyle name="Currency 13" xfId="111" xr:uid="{00000000-0005-0000-0000-00006E000000}"/>
    <cellStyle name="Currency 14" xfId="112" xr:uid="{00000000-0005-0000-0000-00006F000000}"/>
    <cellStyle name="Currency 15" xfId="113" xr:uid="{00000000-0005-0000-0000-000070000000}"/>
    <cellStyle name="Currency 16" xfId="114" xr:uid="{00000000-0005-0000-0000-000071000000}"/>
    <cellStyle name="Currency 17" xfId="115" xr:uid="{00000000-0005-0000-0000-000072000000}"/>
    <cellStyle name="Currency 18" xfId="116" xr:uid="{00000000-0005-0000-0000-000073000000}"/>
    <cellStyle name="Currency 19" xfId="117" xr:uid="{00000000-0005-0000-0000-000074000000}"/>
    <cellStyle name="Currency 2" xfId="118" xr:uid="{00000000-0005-0000-0000-000075000000}"/>
    <cellStyle name="Currency 2 2" xfId="119" xr:uid="{00000000-0005-0000-0000-000076000000}"/>
    <cellStyle name="Currency 2 3" xfId="120" xr:uid="{00000000-0005-0000-0000-000077000000}"/>
    <cellStyle name="Currency 20" xfId="121" xr:uid="{00000000-0005-0000-0000-000078000000}"/>
    <cellStyle name="Currency 21" xfId="122" xr:uid="{00000000-0005-0000-0000-000079000000}"/>
    <cellStyle name="Currency 22" xfId="123" xr:uid="{00000000-0005-0000-0000-00007A000000}"/>
    <cellStyle name="Currency 23" xfId="124" xr:uid="{00000000-0005-0000-0000-00007B000000}"/>
    <cellStyle name="Currency 24" xfId="125" xr:uid="{00000000-0005-0000-0000-00007C000000}"/>
    <cellStyle name="Currency 25" xfId="126" xr:uid="{00000000-0005-0000-0000-00007D000000}"/>
    <cellStyle name="Currency 26" xfId="825" xr:uid="{31CC6591-CA97-4601-A2B0-7EACE0F2CAA7}"/>
    <cellStyle name="Currency 3" xfId="127" xr:uid="{00000000-0005-0000-0000-00007E000000}"/>
    <cellStyle name="Currency 3 2" xfId="128" xr:uid="{00000000-0005-0000-0000-00007F000000}"/>
    <cellStyle name="Currency 3 2 2" xfId="129" xr:uid="{00000000-0005-0000-0000-000080000000}"/>
    <cellStyle name="Currency 3 3" xfId="130" xr:uid="{00000000-0005-0000-0000-000081000000}"/>
    <cellStyle name="Currency 3 4" xfId="131" xr:uid="{00000000-0005-0000-0000-000082000000}"/>
    <cellStyle name="Currency 3 5" xfId="132" xr:uid="{00000000-0005-0000-0000-000083000000}"/>
    <cellStyle name="Currency 4" xfId="133" xr:uid="{00000000-0005-0000-0000-000084000000}"/>
    <cellStyle name="Currency 4 2" xfId="134" xr:uid="{00000000-0005-0000-0000-000085000000}"/>
    <cellStyle name="Currency 4 2 2" xfId="135" xr:uid="{00000000-0005-0000-0000-000086000000}"/>
    <cellStyle name="Currency 4 3" xfId="136" xr:uid="{00000000-0005-0000-0000-000087000000}"/>
    <cellStyle name="Currency 4 4" xfId="137" xr:uid="{00000000-0005-0000-0000-000088000000}"/>
    <cellStyle name="Currency 4 5" xfId="138" xr:uid="{00000000-0005-0000-0000-000089000000}"/>
    <cellStyle name="Currency 5" xfId="139" xr:uid="{00000000-0005-0000-0000-00008A000000}"/>
    <cellStyle name="Currency 5 2" xfId="140" xr:uid="{00000000-0005-0000-0000-00008B000000}"/>
    <cellStyle name="Currency 5 2 2" xfId="141" xr:uid="{00000000-0005-0000-0000-00008C000000}"/>
    <cellStyle name="Currency 5 3" xfId="142" xr:uid="{00000000-0005-0000-0000-00008D000000}"/>
    <cellStyle name="Currency 5 4" xfId="143" xr:uid="{00000000-0005-0000-0000-00008E000000}"/>
    <cellStyle name="Currency 5 5" xfId="144" xr:uid="{00000000-0005-0000-0000-00008F000000}"/>
    <cellStyle name="Currency 6" xfId="145" xr:uid="{00000000-0005-0000-0000-000090000000}"/>
    <cellStyle name="Currency 6 2" xfId="146" xr:uid="{00000000-0005-0000-0000-000091000000}"/>
    <cellStyle name="Currency 6 2 2" xfId="147" xr:uid="{00000000-0005-0000-0000-000092000000}"/>
    <cellStyle name="Currency 6 3" xfId="148" xr:uid="{00000000-0005-0000-0000-000093000000}"/>
    <cellStyle name="Currency 6 4" xfId="149" xr:uid="{00000000-0005-0000-0000-000094000000}"/>
    <cellStyle name="Currency 6 5" xfId="150" xr:uid="{00000000-0005-0000-0000-000095000000}"/>
    <cellStyle name="Currency 7" xfId="151" xr:uid="{00000000-0005-0000-0000-000096000000}"/>
    <cellStyle name="Currency 7 2" xfId="152" xr:uid="{00000000-0005-0000-0000-000097000000}"/>
    <cellStyle name="Currency 7 2 2" xfId="153" xr:uid="{00000000-0005-0000-0000-000098000000}"/>
    <cellStyle name="Currency 7 3" xfId="154" xr:uid="{00000000-0005-0000-0000-000099000000}"/>
    <cellStyle name="Currency 7 4" xfId="155" xr:uid="{00000000-0005-0000-0000-00009A000000}"/>
    <cellStyle name="Currency 7 5" xfId="156" xr:uid="{00000000-0005-0000-0000-00009B000000}"/>
    <cellStyle name="Currency 8" xfId="157" xr:uid="{00000000-0005-0000-0000-00009C000000}"/>
    <cellStyle name="Currency 8 2" xfId="158" xr:uid="{00000000-0005-0000-0000-00009D000000}"/>
    <cellStyle name="Currency 8 2 2" xfId="159" xr:uid="{00000000-0005-0000-0000-00009E000000}"/>
    <cellStyle name="Currency 8 3" xfId="160" xr:uid="{00000000-0005-0000-0000-00009F000000}"/>
    <cellStyle name="Currency 8 4" xfId="161" xr:uid="{00000000-0005-0000-0000-0000A0000000}"/>
    <cellStyle name="Currency 8 5" xfId="162" xr:uid="{00000000-0005-0000-0000-0000A1000000}"/>
    <cellStyle name="Currency 9" xfId="163" xr:uid="{00000000-0005-0000-0000-0000A2000000}"/>
    <cellStyle name="Currency 9 2" xfId="164" xr:uid="{00000000-0005-0000-0000-0000A3000000}"/>
    <cellStyle name="Currency 9 2 2" xfId="165" xr:uid="{00000000-0005-0000-0000-0000A4000000}"/>
    <cellStyle name="Currency 9 3" xfId="166" xr:uid="{00000000-0005-0000-0000-0000A5000000}"/>
    <cellStyle name="Currency 9 4" xfId="167" xr:uid="{00000000-0005-0000-0000-0000A6000000}"/>
    <cellStyle name="Currency 9 5" xfId="168" xr:uid="{00000000-0005-0000-0000-0000A7000000}"/>
    <cellStyle name="Currency0" xfId="169" xr:uid="{00000000-0005-0000-0000-0000A8000000}"/>
    <cellStyle name="Currency0 2" xfId="170" xr:uid="{00000000-0005-0000-0000-0000A9000000}"/>
    <cellStyle name="Dash" xfId="171" xr:uid="{00000000-0005-0000-0000-0000AA000000}"/>
    <cellStyle name="Date" xfId="172" xr:uid="{00000000-0005-0000-0000-0000AB000000}"/>
    <cellStyle name="Date Short" xfId="173" xr:uid="{00000000-0005-0000-0000-0000AC000000}"/>
    <cellStyle name="Date Short 2" xfId="174" xr:uid="{00000000-0005-0000-0000-0000AD000000}"/>
    <cellStyle name="Date_Chicago MF Sales Comps" xfId="175" xr:uid="{00000000-0005-0000-0000-0000AE000000}"/>
    <cellStyle name="Dezimal [0]_Compiling Utility Macros" xfId="176" xr:uid="{00000000-0005-0000-0000-0000AF000000}"/>
    <cellStyle name="Dezimal_Compiling Utility Macros" xfId="177" xr:uid="{00000000-0005-0000-0000-0000B0000000}"/>
    <cellStyle name="Enter Currency (0)" xfId="178" xr:uid="{00000000-0005-0000-0000-0000B1000000}"/>
    <cellStyle name="Enter Currency (2)" xfId="179" xr:uid="{00000000-0005-0000-0000-0000B2000000}"/>
    <cellStyle name="Enter Units (0)" xfId="180" xr:uid="{00000000-0005-0000-0000-0000B3000000}"/>
    <cellStyle name="Enter Units (1)" xfId="181" xr:uid="{00000000-0005-0000-0000-0000B4000000}"/>
    <cellStyle name="Enter Units (2)" xfId="182" xr:uid="{00000000-0005-0000-0000-0000B5000000}"/>
    <cellStyle name="Euro" xfId="183" xr:uid="{00000000-0005-0000-0000-0000B6000000}"/>
    <cellStyle name="EvenBodyShade" xfId="184" xr:uid="{00000000-0005-0000-0000-0000B7000000}"/>
    <cellStyle name="Fixed" xfId="185" xr:uid="{00000000-0005-0000-0000-0000B8000000}"/>
    <cellStyle name="Grey" xfId="186" xr:uid="{00000000-0005-0000-0000-0000B9000000}"/>
    <cellStyle name="Header1" xfId="187" xr:uid="{00000000-0005-0000-0000-0000BA000000}"/>
    <cellStyle name="Header2" xfId="188" xr:uid="{00000000-0005-0000-0000-0000BB000000}"/>
    <cellStyle name="Heading 1 2" xfId="189" xr:uid="{00000000-0005-0000-0000-0000BC000000}"/>
    <cellStyle name="Heading 2 2" xfId="190" xr:uid="{00000000-0005-0000-0000-0000BD000000}"/>
    <cellStyle name="Heading1" xfId="191" xr:uid="{00000000-0005-0000-0000-0000BE000000}"/>
    <cellStyle name="Heading2" xfId="192" xr:uid="{00000000-0005-0000-0000-0000BF000000}"/>
    <cellStyle name="Hyperlink" xfId="193" builtinId="8"/>
    <cellStyle name="Input [yellow]" xfId="194" xr:uid="{00000000-0005-0000-0000-0000C1000000}"/>
    <cellStyle name="Inputs" xfId="195" xr:uid="{00000000-0005-0000-0000-0000C2000000}"/>
    <cellStyle name="Link Currency (0)" xfId="196" xr:uid="{00000000-0005-0000-0000-0000C3000000}"/>
    <cellStyle name="Link Currency (2)" xfId="197" xr:uid="{00000000-0005-0000-0000-0000C4000000}"/>
    <cellStyle name="Link Units (0)" xfId="198" xr:uid="{00000000-0005-0000-0000-0000C5000000}"/>
    <cellStyle name="Link Units (1)" xfId="199" xr:uid="{00000000-0005-0000-0000-0000C6000000}"/>
    <cellStyle name="Link Units (2)" xfId="200" xr:uid="{00000000-0005-0000-0000-0000C7000000}"/>
    <cellStyle name="Neutral" xfId="821" builtinId="28"/>
    <cellStyle name="Neutral 2" xfId="823" xr:uid="{00000000-0005-0000-0000-0000C9000000}"/>
    <cellStyle name="no dec" xfId="201" xr:uid="{00000000-0005-0000-0000-0000CA000000}"/>
    <cellStyle name="Normal" xfId="0" builtinId="0"/>
    <cellStyle name="Normal - Style1" xfId="202" xr:uid="{00000000-0005-0000-0000-0000CC000000}"/>
    <cellStyle name="Normal - Style1 2" xfId="203" xr:uid="{00000000-0005-0000-0000-0000CD000000}"/>
    <cellStyle name="Normal - Style1 3" xfId="204" xr:uid="{00000000-0005-0000-0000-0000CE000000}"/>
    <cellStyle name="Normal 10" xfId="205" xr:uid="{00000000-0005-0000-0000-0000CF000000}"/>
    <cellStyle name="Normal 10 2" xfId="206" xr:uid="{00000000-0005-0000-0000-0000D0000000}"/>
    <cellStyle name="Normal 10 2 2" xfId="207" xr:uid="{00000000-0005-0000-0000-0000D1000000}"/>
    <cellStyle name="Normal 10 2 2 2" xfId="208" xr:uid="{00000000-0005-0000-0000-0000D2000000}"/>
    <cellStyle name="Normal 10 2 3" xfId="209" xr:uid="{00000000-0005-0000-0000-0000D3000000}"/>
    <cellStyle name="Normal 10 3" xfId="210" xr:uid="{00000000-0005-0000-0000-0000D4000000}"/>
    <cellStyle name="Normal 10 3 2" xfId="211" xr:uid="{00000000-0005-0000-0000-0000D5000000}"/>
    <cellStyle name="Normal 10 3 2 2" xfId="212" xr:uid="{00000000-0005-0000-0000-0000D6000000}"/>
    <cellStyle name="Normal 10 3 3" xfId="213" xr:uid="{00000000-0005-0000-0000-0000D7000000}"/>
    <cellStyle name="Normal 10 4" xfId="214" xr:uid="{00000000-0005-0000-0000-0000D8000000}"/>
    <cellStyle name="Normal 10 4 2" xfId="215" xr:uid="{00000000-0005-0000-0000-0000D9000000}"/>
    <cellStyle name="Normal 10 4 2 2" xfId="216" xr:uid="{00000000-0005-0000-0000-0000DA000000}"/>
    <cellStyle name="Normal 10 4 3" xfId="217" xr:uid="{00000000-0005-0000-0000-0000DB000000}"/>
    <cellStyle name="Normal 10 5" xfId="218" xr:uid="{00000000-0005-0000-0000-0000DC000000}"/>
    <cellStyle name="Normal 10 5 2" xfId="219" xr:uid="{00000000-0005-0000-0000-0000DD000000}"/>
    <cellStyle name="Normal 10 6" xfId="220" xr:uid="{00000000-0005-0000-0000-0000DE000000}"/>
    <cellStyle name="Normal 10 6 2" xfId="221" xr:uid="{00000000-0005-0000-0000-0000DF000000}"/>
    <cellStyle name="Normal 10 7" xfId="222" xr:uid="{00000000-0005-0000-0000-0000E0000000}"/>
    <cellStyle name="Normal 11" xfId="223" xr:uid="{00000000-0005-0000-0000-0000E1000000}"/>
    <cellStyle name="Normal 11 2" xfId="224" xr:uid="{00000000-0005-0000-0000-0000E2000000}"/>
    <cellStyle name="Normal 11 2 2" xfId="225" xr:uid="{00000000-0005-0000-0000-0000E3000000}"/>
    <cellStyle name="Normal 11 2 2 2" xfId="226" xr:uid="{00000000-0005-0000-0000-0000E4000000}"/>
    <cellStyle name="Normal 11 2 3" xfId="227" xr:uid="{00000000-0005-0000-0000-0000E5000000}"/>
    <cellStyle name="Normal 11 3" xfId="228" xr:uid="{00000000-0005-0000-0000-0000E6000000}"/>
    <cellStyle name="Normal 11 3 2" xfId="229" xr:uid="{00000000-0005-0000-0000-0000E7000000}"/>
    <cellStyle name="Normal 11 3 2 2" xfId="230" xr:uid="{00000000-0005-0000-0000-0000E8000000}"/>
    <cellStyle name="Normal 11 3 3" xfId="231" xr:uid="{00000000-0005-0000-0000-0000E9000000}"/>
    <cellStyle name="Normal 11 4" xfId="232" xr:uid="{00000000-0005-0000-0000-0000EA000000}"/>
    <cellStyle name="Normal 11 4 2" xfId="233" xr:uid="{00000000-0005-0000-0000-0000EB000000}"/>
    <cellStyle name="Normal 11 4 2 2" xfId="234" xr:uid="{00000000-0005-0000-0000-0000EC000000}"/>
    <cellStyle name="Normal 11 4 3" xfId="235" xr:uid="{00000000-0005-0000-0000-0000ED000000}"/>
    <cellStyle name="Normal 11 5" xfId="236" xr:uid="{00000000-0005-0000-0000-0000EE000000}"/>
    <cellStyle name="Normal 11 5 2" xfId="237" xr:uid="{00000000-0005-0000-0000-0000EF000000}"/>
    <cellStyle name="Normal 11 6" xfId="238" xr:uid="{00000000-0005-0000-0000-0000F0000000}"/>
    <cellStyle name="Normal 11 6 2" xfId="239" xr:uid="{00000000-0005-0000-0000-0000F1000000}"/>
    <cellStyle name="Normal 11 7" xfId="240" xr:uid="{00000000-0005-0000-0000-0000F2000000}"/>
    <cellStyle name="Normal 12" xfId="241" xr:uid="{00000000-0005-0000-0000-0000F3000000}"/>
    <cellStyle name="Normal 12 2" xfId="242" xr:uid="{00000000-0005-0000-0000-0000F4000000}"/>
    <cellStyle name="Normal 12 2 2" xfId="243" xr:uid="{00000000-0005-0000-0000-0000F5000000}"/>
    <cellStyle name="Normal 12 2 2 2" xfId="244" xr:uid="{00000000-0005-0000-0000-0000F6000000}"/>
    <cellStyle name="Normal 12 2 3" xfId="245" xr:uid="{00000000-0005-0000-0000-0000F7000000}"/>
    <cellStyle name="Normal 12 3" xfId="246" xr:uid="{00000000-0005-0000-0000-0000F8000000}"/>
    <cellStyle name="Normal 12 3 2" xfId="247" xr:uid="{00000000-0005-0000-0000-0000F9000000}"/>
    <cellStyle name="Normal 12 3 2 2" xfId="248" xr:uid="{00000000-0005-0000-0000-0000FA000000}"/>
    <cellStyle name="Normal 12 3 3" xfId="249" xr:uid="{00000000-0005-0000-0000-0000FB000000}"/>
    <cellStyle name="Normal 12 4" xfId="250" xr:uid="{00000000-0005-0000-0000-0000FC000000}"/>
    <cellStyle name="Normal 12 4 2" xfId="251" xr:uid="{00000000-0005-0000-0000-0000FD000000}"/>
    <cellStyle name="Normal 12 4 2 2" xfId="252" xr:uid="{00000000-0005-0000-0000-0000FE000000}"/>
    <cellStyle name="Normal 12 4 3" xfId="253" xr:uid="{00000000-0005-0000-0000-0000FF000000}"/>
    <cellStyle name="Normal 12 5" xfId="254" xr:uid="{00000000-0005-0000-0000-000000010000}"/>
    <cellStyle name="Normal 12 5 2" xfId="255" xr:uid="{00000000-0005-0000-0000-000001010000}"/>
    <cellStyle name="Normal 12 6" xfId="256" xr:uid="{00000000-0005-0000-0000-000002010000}"/>
    <cellStyle name="Normal 12 6 2" xfId="257" xr:uid="{00000000-0005-0000-0000-000003010000}"/>
    <cellStyle name="Normal 12 7" xfId="258" xr:uid="{00000000-0005-0000-0000-000004010000}"/>
    <cellStyle name="Normal 13" xfId="259" xr:uid="{00000000-0005-0000-0000-000005010000}"/>
    <cellStyle name="Normal 13 2" xfId="260" xr:uid="{00000000-0005-0000-0000-000006010000}"/>
    <cellStyle name="Normal 13 2 2" xfId="261" xr:uid="{00000000-0005-0000-0000-000007010000}"/>
    <cellStyle name="Normal 13 2 2 2" xfId="262" xr:uid="{00000000-0005-0000-0000-000008010000}"/>
    <cellStyle name="Normal 13 2 3" xfId="263" xr:uid="{00000000-0005-0000-0000-000009010000}"/>
    <cellStyle name="Normal 13 3" xfId="264" xr:uid="{00000000-0005-0000-0000-00000A010000}"/>
    <cellStyle name="Normal 13 3 2" xfId="265" xr:uid="{00000000-0005-0000-0000-00000B010000}"/>
    <cellStyle name="Normal 13 3 2 2" xfId="266" xr:uid="{00000000-0005-0000-0000-00000C010000}"/>
    <cellStyle name="Normal 13 3 3" xfId="267" xr:uid="{00000000-0005-0000-0000-00000D010000}"/>
    <cellStyle name="Normal 13 4" xfId="268" xr:uid="{00000000-0005-0000-0000-00000E010000}"/>
    <cellStyle name="Normal 13 4 2" xfId="269" xr:uid="{00000000-0005-0000-0000-00000F010000}"/>
    <cellStyle name="Normal 13 4 2 2" xfId="270" xr:uid="{00000000-0005-0000-0000-000010010000}"/>
    <cellStyle name="Normal 13 4 3" xfId="271" xr:uid="{00000000-0005-0000-0000-000011010000}"/>
    <cellStyle name="Normal 13 5" xfId="272" xr:uid="{00000000-0005-0000-0000-000012010000}"/>
    <cellStyle name="Normal 13 5 2" xfId="273" xr:uid="{00000000-0005-0000-0000-000013010000}"/>
    <cellStyle name="Normal 13 6" xfId="274" xr:uid="{00000000-0005-0000-0000-000014010000}"/>
    <cellStyle name="Normal 13 6 2" xfId="275" xr:uid="{00000000-0005-0000-0000-000015010000}"/>
    <cellStyle name="Normal 13 7" xfId="276" xr:uid="{00000000-0005-0000-0000-000016010000}"/>
    <cellStyle name="Normal 14" xfId="277" xr:uid="{00000000-0005-0000-0000-000017010000}"/>
    <cellStyle name="Normal 14 2" xfId="278" xr:uid="{00000000-0005-0000-0000-000018010000}"/>
    <cellStyle name="Normal 14 2 2" xfId="279" xr:uid="{00000000-0005-0000-0000-000019010000}"/>
    <cellStyle name="Normal 14 2 2 2" xfId="280" xr:uid="{00000000-0005-0000-0000-00001A010000}"/>
    <cellStyle name="Normal 14 2 3" xfId="281" xr:uid="{00000000-0005-0000-0000-00001B010000}"/>
    <cellStyle name="Normal 14 3" xfId="282" xr:uid="{00000000-0005-0000-0000-00001C010000}"/>
    <cellStyle name="Normal 14 3 2" xfId="283" xr:uid="{00000000-0005-0000-0000-00001D010000}"/>
    <cellStyle name="Normal 14 3 2 2" xfId="284" xr:uid="{00000000-0005-0000-0000-00001E010000}"/>
    <cellStyle name="Normal 14 3 3" xfId="285" xr:uid="{00000000-0005-0000-0000-00001F010000}"/>
    <cellStyle name="Normal 14 4" xfId="286" xr:uid="{00000000-0005-0000-0000-000020010000}"/>
    <cellStyle name="Normal 14 4 2" xfId="287" xr:uid="{00000000-0005-0000-0000-000021010000}"/>
    <cellStyle name="Normal 14 5" xfId="288" xr:uid="{00000000-0005-0000-0000-000022010000}"/>
    <cellStyle name="Normal 15" xfId="289" xr:uid="{00000000-0005-0000-0000-000023010000}"/>
    <cellStyle name="Normal 15 2" xfId="290" xr:uid="{00000000-0005-0000-0000-000024010000}"/>
    <cellStyle name="Normal 15 2 2" xfId="291" xr:uid="{00000000-0005-0000-0000-000025010000}"/>
    <cellStyle name="Normal 15 2 2 2" xfId="292" xr:uid="{00000000-0005-0000-0000-000026010000}"/>
    <cellStyle name="Normal 15 2 3" xfId="293" xr:uid="{00000000-0005-0000-0000-000027010000}"/>
    <cellStyle name="Normal 15 3" xfId="294" xr:uid="{00000000-0005-0000-0000-000028010000}"/>
    <cellStyle name="Normal 15 3 2" xfId="295" xr:uid="{00000000-0005-0000-0000-000029010000}"/>
    <cellStyle name="Normal 15 3 2 2" xfId="296" xr:uid="{00000000-0005-0000-0000-00002A010000}"/>
    <cellStyle name="Normal 15 3 3" xfId="297" xr:uid="{00000000-0005-0000-0000-00002B010000}"/>
    <cellStyle name="Normal 15 4" xfId="298" xr:uid="{00000000-0005-0000-0000-00002C010000}"/>
    <cellStyle name="Normal 15 4 2" xfId="299" xr:uid="{00000000-0005-0000-0000-00002D010000}"/>
    <cellStyle name="Normal 15 5" xfId="300" xr:uid="{00000000-0005-0000-0000-00002E010000}"/>
    <cellStyle name="Normal 16" xfId="301" xr:uid="{00000000-0005-0000-0000-00002F010000}"/>
    <cellStyle name="Normal 16 2" xfId="302" xr:uid="{00000000-0005-0000-0000-000030010000}"/>
    <cellStyle name="Normal 16 2 2" xfId="303" xr:uid="{00000000-0005-0000-0000-000031010000}"/>
    <cellStyle name="Normal 16 2 2 2" xfId="304" xr:uid="{00000000-0005-0000-0000-000032010000}"/>
    <cellStyle name="Normal 16 2 3" xfId="305" xr:uid="{00000000-0005-0000-0000-000033010000}"/>
    <cellStyle name="Normal 16 3" xfId="306" xr:uid="{00000000-0005-0000-0000-000034010000}"/>
    <cellStyle name="Normal 16 3 2" xfId="307" xr:uid="{00000000-0005-0000-0000-000035010000}"/>
    <cellStyle name="Normal 16 3 2 2" xfId="308" xr:uid="{00000000-0005-0000-0000-000036010000}"/>
    <cellStyle name="Normal 16 3 3" xfId="309" xr:uid="{00000000-0005-0000-0000-000037010000}"/>
    <cellStyle name="Normal 16 4" xfId="310" xr:uid="{00000000-0005-0000-0000-000038010000}"/>
    <cellStyle name="Normal 16 4 2" xfId="311" xr:uid="{00000000-0005-0000-0000-000039010000}"/>
    <cellStyle name="Normal 16 5" xfId="312" xr:uid="{00000000-0005-0000-0000-00003A010000}"/>
    <cellStyle name="Normal 17" xfId="313" xr:uid="{00000000-0005-0000-0000-00003B010000}"/>
    <cellStyle name="Normal 17 2" xfId="314" xr:uid="{00000000-0005-0000-0000-00003C010000}"/>
    <cellStyle name="Normal 17 2 2" xfId="315" xr:uid="{00000000-0005-0000-0000-00003D010000}"/>
    <cellStyle name="Normal 17 2 2 2" xfId="316" xr:uid="{00000000-0005-0000-0000-00003E010000}"/>
    <cellStyle name="Normal 17 2 3" xfId="317" xr:uid="{00000000-0005-0000-0000-00003F010000}"/>
    <cellStyle name="Normal 17 3" xfId="318" xr:uid="{00000000-0005-0000-0000-000040010000}"/>
    <cellStyle name="Normal 17 3 2" xfId="319" xr:uid="{00000000-0005-0000-0000-000041010000}"/>
    <cellStyle name="Normal 17 3 2 2" xfId="320" xr:uid="{00000000-0005-0000-0000-000042010000}"/>
    <cellStyle name="Normal 17 3 3" xfId="321" xr:uid="{00000000-0005-0000-0000-000043010000}"/>
    <cellStyle name="Normal 17 4" xfId="322" xr:uid="{00000000-0005-0000-0000-000044010000}"/>
    <cellStyle name="Normal 17 4 2" xfId="323" xr:uid="{00000000-0005-0000-0000-000045010000}"/>
    <cellStyle name="Normal 17 5" xfId="324" xr:uid="{00000000-0005-0000-0000-000046010000}"/>
    <cellStyle name="Normal 18" xfId="325" xr:uid="{00000000-0005-0000-0000-000047010000}"/>
    <cellStyle name="Normal 18 2" xfId="326" xr:uid="{00000000-0005-0000-0000-000048010000}"/>
    <cellStyle name="Normal 18 2 2" xfId="327" xr:uid="{00000000-0005-0000-0000-000049010000}"/>
    <cellStyle name="Normal 18 2 2 2" xfId="328" xr:uid="{00000000-0005-0000-0000-00004A010000}"/>
    <cellStyle name="Normal 18 2 3" xfId="329" xr:uid="{00000000-0005-0000-0000-00004B010000}"/>
    <cellStyle name="Normal 18 3" xfId="330" xr:uid="{00000000-0005-0000-0000-00004C010000}"/>
    <cellStyle name="Normal 18 3 2" xfId="331" xr:uid="{00000000-0005-0000-0000-00004D010000}"/>
    <cellStyle name="Normal 18 3 2 2" xfId="332" xr:uid="{00000000-0005-0000-0000-00004E010000}"/>
    <cellStyle name="Normal 18 3 3" xfId="333" xr:uid="{00000000-0005-0000-0000-00004F010000}"/>
    <cellStyle name="Normal 18 4" xfId="334" xr:uid="{00000000-0005-0000-0000-000050010000}"/>
    <cellStyle name="Normal 18 4 2" xfId="335" xr:uid="{00000000-0005-0000-0000-000051010000}"/>
    <cellStyle name="Normal 18 5" xfId="336" xr:uid="{00000000-0005-0000-0000-000052010000}"/>
    <cellStyle name="Normal 19" xfId="337" xr:uid="{00000000-0005-0000-0000-000053010000}"/>
    <cellStyle name="Normal 19 2" xfId="338" xr:uid="{00000000-0005-0000-0000-000054010000}"/>
    <cellStyle name="Normal 19 2 2" xfId="339" xr:uid="{00000000-0005-0000-0000-000055010000}"/>
    <cellStyle name="Normal 19 2 2 2" xfId="340" xr:uid="{00000000-0005-0000-0000-000056010000}"/>
    <cellStyle name="Normal 19 2 3" xfId="341" xr:uid="{00000000-0005-0000-0000-000057010000}"/>
    <cellStyle name="Normal 19 3" xfId="342" xr:uid="{00000000-0005-0000-0000-000058010000}"/>
    <cellStyle name="Normal 19 3 2" xfId="343" xr:uid="{00000000-0005-0000-0000-000059010000}"/>
    <cellStyle name="Normal 19 3 2 2" xfId="344" xr:uid="{00000000-0005-0000-0000-00005A010000}"/>
    <cellStyle name="Normal 19 3 3" xfId="345" xr:uid="{00000000-0005-0000-0000-00005B010000}"/>
    <cellStyle name="Normal 19 4" xfId="346" xr:uid="{00000000-0005-0000-0000-00005C010000}"/>
    <cellStyle name="Normal 19 4 2" xfId="347" xr:uid="{00000000-0005-0000-0000-00005D010000}"/>
    <cellStyle name="Normal 19 5" xfId="348" xr:uid="{00000000-0005-0000-0000-00005E010000}"/>
    <cellStyle name="Normal 2" xfId="349" xr:uid="{00000000-0005-0000-0000-00005F010000}"/>
    <cellStyle name="Normal 2 2" xfId="350" xr:uid="{00000000-0005-0000-0000-000060010000}"/>
    <cellStyle name="Normal 2 2 2" xfId="351" xr:uid="{00000000-0005-0000-0000-000061010000}"/>
    <cellStyle name="Normal 2 2 2 2" xfId="352" xr:uid="{00000000-0005-0000-0000-000062010000}"/>
    <cellStyle name="Normal 2 2 2 2 2" xfId="353" xr:uid="{00000000-0005-0000-0000-000063010000}"/>
    <cellStyle name="Normal 2 2 2 2 2 2" xfId="354" xr:uid="{00000000-0005-0000-0000-000064010000}"/>
    <cellStyle name="Normal 2 2 2 2 3" xfId="355" xr:uid="{00000000-0005-0000-0000-000065010000}"/>
    <cellStyle name="Normal 2 2 2 3" xfId="356" xr:uid="{00000000-0005-0000-0000-000066010000}"/>
    <cellStyle name="Normal 2 2 2 3 2" xfId="357" xr:uid="{00000000-0005-0000-0000-000067010000}"/>
    <cellStyle name="Normal 2 2 2 3 2 2" xfId="358" xr:uid="{00000000-0005-0000-0000-000068010000}"/>
    <cellStyle name="Normal 2 2 2 3 3" xfId="359" xr:uid="{00000000-0005-0000-0000-000069010000}"/>
    <cellStyle name="Normal 2 2 2 4" xfId="360" xr:uid="{00000000-0005-0000-0000-00006A010000}"/>
    <cellStyle name="Normal 2 2 2 4 2" xfId="361" xr:uid="{00000000-0005-0000-0000-00006B010000}"/>
    <cellStyle name="Normal 2 2 2 5" xfId="362" xr:uid="{00000000-0005-0000-0000-00006C010000}"/>
    <cellStyle name="Normal 2 2 3" xfId="363" xr:uid="{00000000-0005-0000-0000-00006D010000}"/>
    <cellStyle name="Normal 2 2 3 2" xfId="364" xr:uid="{00000000-0005-0000-0000-00006E010000}"/>
    <cellStyle name="Normal 2 2 3 2 2" xfId="365" xr:uid="{00000000-0005-0000-0000-00006F010000}"/>
    <cellStyle name="Normal 2 2 3 3" xfId="366" xr:uid="{00000000-0005-0000-0000-000070010000}"/>
    <cellStyle name="Normal 2 2 4" xfId="367" xr:uid="{00000000-0005-0000-0000-000071010000}"/>
    <cellStyle name="Normal 2 2 4 2" xfId="368" xr:uid="{00000000-0005-0000-0000-000072010000}"/>
    <cellStyle name="Normal 2 2 4 2 2" xfId="369" xr:uid="{00000000-0005-0000-0000-000073010000}"/>
    <cellStyle name="Normal 2 2 4 3" xfId="370" xr:uid="{00000000-0005-0000-0000-000074010000}"/>
    <cellStyle name="Normal 2 2 5" xfId="371" xr:uid="{00000000-0005-0000-0000-000075010000}"/>
    <cellStyle name="Normal 2 2 5 2" xfId="372" xr:uid="{00000000-0005-0000-0000-000076010000}"/>
    <cellStyle name="Normal 2 2 6" xfId="373" xr:uid="{00000000-0005-0000-0000-000077010000}"/>
    <cellStyle name="Normal 2 3" xfId="374" xr:uid="{00000000-0005-0000-0000-000078010000}"/>
    <cellStyle name="Normal 2 3 2" xfId="375" xr:uid="{00000000-0005-0000-0000-000079010000}"/>
    <cellStyle name="Normal 2 3 2 2" xfId="376" xr:uid="{00000000-0005-0000-0000-00007A010000}"/>
    <cellStyle name="Normal 2 3 2 2 2" xfId="377" xr:uid="{00000000-0005-0000-0000-00007B010000}"/>
    <cellStyle name="Normal 2 3 2 3" xfId="378" xr:uid="{00000000-0005-0000-0000-00007C010000}"/>
    <cellStyle name="Normal 2 3 3" xfId="379" xr:uid="{00000000-0005-0000-0000-00007D010000}"/>
    <cellStyle name="Normal 2 3 3 2" xfId="380" xr:uid="{00000000-0005-0000-0000-00007E010000}"/>
    <cellStyle name="Normal 2 3 3 2 2" xfId="381" xr:uid="{00000000-0005-0000-0000-00007F010000}"/>
    <cellStyle name="Normal 2 3 3 3" xfId="382" xr:uid="{00000000-0005-0000-0000-000080010000}"/>
    <cellStyle name="Normal 2 3 4" xfId="383" xr:uid="{00000000-0005-0000-0000-000081010000}"/>
    <cellStyle name="Normal 2 3 4 2" xfId="384" xr:uid="{00000000-0005-0000-0000-000082010000}"/>
    <cellStyle name="Normal 2 3 5" xfId="385" xr:uid="{00000000-0005-0000-0000-000083010000}"/>
    <cellStyle name="Normal 2 4" xfId="386" xr:uid="{00000000-0005-0000-0000-000084010000}"/>
    <cellStyle name="Normal 2 4 2" xfId="387" xr:uid="{00000000-0005-0000-0000-000085010000}"/>
    <cellStyle name="Normal 2 4 2 2" xfId="388" xr:uid="{00000000-0005-0000-0000-000086010000}"/>
    <cellStyle name="Normal 2 4 3" xfId="389" xr:uid="{00000000-0005-0000-0000-000087010000}"/>
    <cellStyle name="Normal 2 5" xfId="390" xr:uid="{00000000-0005-0000-0000-000088010000}"/>
    <cellStyle name="Normal 2 5 2" xfId="391" xr:uid="{00000000-0005-0000-0000-000089010000}"/>
    <cellStyle name="Normal 2 5 2 2" xfId="392" xr:uid="{00000000-0005-0000-0000-00008A010000}"/>
    <cellStyle name="Normal 2 5 3" xfId="393" xr:uid="{00000000-0005-0000-0000-00008B010000}"/>
    <cellStyle name="Normal 2 6" xfId="394" xr:uid="{00000000-0005-0000-0000-00008C010000}"/>
    <cellStyle name="Normal 2 6 2" xfId="395" xr:uid="{00000000-0005-0000-0000-00008D010000}"/>
    <cellStyle name="Normal 2 6 2 2" xfId="396" xr:uid="{00000000-0005-0000-0000-00008E010000}"/>
    <cellStyle name="Normal 2 6 3" xfId="397" xr:uid="{00000000-0005-0000-0000-00008F010000}"/>
    <cellStyle name="Normal 2 7" xfId="398" xr:uid="{00000000-0005-0000-0000-000090010000}"/>
    <cellStyle name="Normal 2 7 2" xfId="399" xr:uid="{00000000-0005-0000-0000-000091010000}"/>
    <cellStyle name="Normal 2 8" xfId="400" xr:uid="{00000000-0005-0000-0000-000092010000}"/>
    <cellStyle name="Normal 2 8 2" xfId="401" xr:uid="{00000000-0005-0000-0000-000093010000}"/>
    <cellStyle name="Normal 2 9" xfId="402" xr:uid="{00000000-0005-0000-0000-000094010000}"/>
    <cellStyle name="Normal 20" xfId="403" xr:uid="{00000000-0005-0000-0000-000095010000}"/>
    <cellStyle name="Normal 20 2" xfId="404" xr:uid="{00000000-0005-0000-0000-000096010000}"/>
    <cellStyle name="Normal 20 2 2" xfId="405" xr:uid="{00000000-0005-0000-0000-000097010000}"/>
    <cellStyle name="Normal 20 2 2 2" xfId="406" xr:uid="{00000000-0005-0000-0000-000098010000}"/>
    <cellStyle name="Normal 20 2 3" xfId="407" xr:uid="{00000000-0005-0000-0000-000099010000}"/>
    <cellStyle name="Normal 20 3" xfId="408" xr:uid="{00000000-0005-0000-0000-00009A010000}"/>
    <cellStyle name="Normal 20 3 2" xfId="409" xr:uid="{00000000-0005-0000-0000-00009B010000}"/>
    <cellStyle name="Normal 20 3 2 2" xfId="410" xr:uid="{00000000-0005-0000-0000-00009C010000}"/>
    <cellStyle name="Normal 20 3 3" xfId="411" xr:uid="{00000000-0005-0000-0000-00009D010000}"/>
    <cellStyle name="Normal 20 4" xfId="412" xr:uid="{00000000-0005-0000-0000-00009E010000}"/>
    <cellStyle name="Normal 20 4 2" xfId="413" xr:uid="{00000000-0005-0000-0000-00009F010000}"/>
    <cellStyle name="Normal 20 5" xfId="414" xr:uid="{00000000-0005-0000-0000-0000A0010000}"/>
    <cellStyle name="Normal 21" xfId="415" xr:uid="{00000000-0005-0000-0000-0000A1010000}"/>
    <cellStyle name="Normal 21 2" xfId="416" xr:uid="{00000000-0005-0000-0000-0000A2010000}"/>
    <cellStyle name="Normal 21 2 2" xfId="417" xr:uid="{00000000-0005-0000-0000-0000A3010000}"/>
    <cellStyle name="Normal 21 2 2 2" xfId="418" xr:uid="{00000000-0005-0000-0000-0000A4010000}"/>
    <cellStyle name="Normal 21 2 3" xfId="419" xr:uid="{00000000-0005-0000-0000-0000A5010000}"/>
    <cellStyle name="Normal 21 3" xfId="420" xr:uid="{00000000-0005-0000-0000-0000A6010000}"/>
    <cellStyle name="Normal 21 3 2" xfId="421" xr:uid="{00000000-0005-0000-0000-0000A7010000}"/>
    <cellStyle name="Normal 21 3 2 2" xfId="422" xr:uid="{00000000-0005-0000-0000-0000A8010000}"/>
    <cellStyle name="Normal 21 3 3" xfId="423" xr:uid="{00000000-0005-0000-0000-0000A9010000}"/>
    <cellStyle name="Normal 21 4" xfId="424" xr:uid="{00000000-0005-0000-0000-0000AA010000}"/>
    <cellStyle name="Normal 21 4 2" xfId="425" xr:uid="{00000000-0005-0000-0000-0000AB010000}"/>
    <cellStyle name="Normal 21 5" xfId="426" xr:uid="{00000000-0005-0000-0000-0000AC010000}"/>
    <cellStyle name="Normal 22" xfId="427" xr:uid="{00000000-0005-0000-0000-0000AD010000}"/>
    <cellStyle name="Normal 22 2" xfId="428" xr:uid="{00000000-0005-0000-0000-0000AE010000}"/>
    <cellStyle name="Normal 22 2 2" xfId="429" xr:uid="{00000000-0005-0000-0000-0000AF010000}"/>
    <cellStyle name="Normal 22 2 2 2" xfId="430" xr:uid="{00000000-0005-0000-0000-0000B0010000}"/>
    <cellStyle name="Normal 22 2 3" xfId="431" xr:uid="{00000000-0005-0000-0000-0000B1010000}"/>
    <cellStyle name="Normal 22 3" xfId="432" xr:uid="{00000000-0005-0000-0000-0000B2010000}"/>
    <cellStyle name="Normal 22 3 2" xfId="433" xr:uid="{00000000-0005-0000-0000-0000B3010000}"/>
    <cellStyle name="Normal 22 3 2 2" xfId="434" xr:uid="{00000000-0005-0000-0000-0000B4010000}"/>
    <cellStyle name="Normal 22 3 3" xfId="435" xr:uid="{00000000-0005-0000-0000-0000B5010000}"/>
    <cellStyle name="Normal 22 4" xfId="436" xr:uid="{00000000-0005-0000-0000-0000B6010000}"/>
    <cellStyle name="Normal 22 4 2" xfId="437" xr:uid="{00000000-0005-0000-0000-0000B7010000}"/>
    <cellStyle name="Normal 22 5" xfId="438" xr:uid="{00000000-0005-0000-0000-0000B8010000}"/>
    <cellStyle name="Normal 23" xfId="439" xr:uid="{00000000-0005-0000-0000-0000B9010000}"/>
    <cellStyle name="Normal 23 2" xfId="440" xr:uid="{00000000-0005-0000-0000-0000BA010000}"/>
    <cellStyle name="Normal 23 2 2" xfId="441" xr:uid="{00000000-0005-0000-0000-0000BB010000}"/>
    <cellStyle name="Normal 23 2 2 2" xfId="442" xr:uid="{00000000-0005-0000-0000-0000BC010000}"/>
    <cellStyle name="Normal 23 2 3" xfId="443" xr:uid="{00000000-0005-0000-0000-0000BD010000}"/>
    <cellStyle name="Normal 23 3" xfId="444" xr:uid="{00000000-0005-0000-0000-0000BE010000}"/>
    <cellStyle name="Normal 23 3 2" xfId="445" xr:uid="{00000000-0005-0000-0000-0000BF010000}"/>
    <cellStyle name="Normal 23 3 2 2" xfId="446" xr:uid="{00000000-0005-0000-0000-0000C0010000}"/>
    <cellStyle name="Normal 23 3 3" xfId="447" xr:uid="{00000000-0005-0000-0000-0000C1010000}"/>
    <cellStyle name="Normal 23 4" xfId="448" xr:uid="{00000000-0005-0000-0000-0000C2010000}"/>
    <cellStyle name="Normal 23 4 2" xfId="449" xr:uid="{00000000-0005-0000-0000-0000C3010000}"/>
    <cellStyle name="Normal 23 5" xfId="450" xr:uid="{00000000-0005-0000-0000-0000C4010000}"/>
    <cellStyle name="Normal 24" xfId="451" xr:uid="{00000000-0005-0000-0000-0000C5010000}"/>
    <cellStyle name="Normal 24 2" xfId="452" xr:uid="{00000000-0005-0000-0000-0000C6010000}"/>
    <cellStyle name="Normal 24 2 2" xfId="453" xr:uid="{00000000-0005-0000-0000-0000C7010000}"/>
    <cellStyle name="Normal 24 2 2 2" xfId="454" xr:uid="{00000000-0005-0000-0000-0000C8010000}"/>
    <cellStyle name="Normal 24 2 3" xfId="455" xr:uid="{00000000-0005-0000-0000-0000C9010000}"/>
    <cellStyle name="Normal 24 3" xfId="456" xr:uid="{00000000-0005-0000-0000-0000CA010000}"/>
    <cellStyle name="Normal 24 3 2" xfId="457" xr:uid="{00000000-0005-0000-0000-0000CB010000}"/>
    <cellStyle name="Normal 24 3 2 2" xfId="458" xr:uid="{00000000-0005-0000-0000-0000CC010000}"/>
    <cellStyle name="Normal 24 3 3" xfId="459" xr:uid="{00000000-0005-0000-0000-0000CD010000}"/>
    <cellStyle name="Normal 24 4" xfId="460" xr:uid="{00000000-0005-0000-0000-0000CE010000}"/>
    <cellStyle name="Normal 24 4 2" xfId="461" xr:uid="{00000000-0005-0000-0000-0000CF010000}"/>
    <cellStyle name="Normal 24 5" xfId="462" xr:uid="{00000000-0005-0000-0000-0000D0010000}"/>
    <cellStyle name="Normal 25" xfId="463" xr:uid="{00000000-0005-0000-0000-0000D1010000}"/>
    <cellStyle name="Normal 25 2" xfId="464" xr:uid="{00000000-0005-0000-0000-0000D2010000}"/>
    <cellStyle name="Normal 25 2 2" xfId="465" xr:uid="{00000000-0005-0000-0000-0000D3010000}"/>
    <cellStyle name="Normal 25 2 2 2" xfId="466" xr:uid="{00000000-0005-0000-0000-0000D4010000}"/>
    <cellStyle name="Normal 25 2 3" xfId="467" xr:uid="{00000000-0005-0000-0000-0000D5010000}"/>
    <cellStyle name="Normal 25 3" xfId="468" xr:uid="{00000000-0005-0000-0000-0000D6010000}"/>
    <cellStyle name="Normal 25 3 2" xfId="469" xr:uid="{00000000-0005-0000-0000-0000D7010000}"/>
    <cellStyle name="Normal 25 3 2 2" xfId="470" xr:uid="{00000000-0005-0000-0000-0000D8010000}"/>
    <cellStyle name="Normal 25 3 3" xfId="471" xr:uid="{00000000-0005-0000-0000-0000D9010000}"/>
    <cellStyle name="Normal 25 4" xfId="472" xr:uid="{00000000-0005-0000-0000-0000DA010000}"/>
    <cellStyle name="Normal 25 4 2" xfId="473" xr:uid="{00000000-0005-0000-0000-0000DB010000}"/>
    <cellStyle name="Normal 25 5" xfId="474" xr:uid="{00000000-0005-0000-0000-0000DC010000}"/>
    <cellStyle name="Normal 26" xfId="475" xr:uid="{00000000-0005-0000-0000-0000DD010000}"/>
    <cellStyle name="Normal 26 2" xfId="476" xr:uid="{00000000-0005-0000-0000-0000DE010000}"/>
    <cellStyle name="Normal 26 2 2" xfId="477" xr:uid="{00000000-0005-0000-0000-0000DF010000}"/>
    <cellStyle name="Normal 26 2 2 2" xfId="478" xr:uid="{00000000-0005-0000-0000-0000E0010000}"/>
    <cellStyle name="Normal 26 2 3" xfId="479" xr:uid="{00000000-0005-0000-0000-0000E1010000}"/>
    <cellStyle name="Normal 26 3" xfId="480" xr:uid="{00000000-0005-0000-0000-0000E2010000}"/>
    <cellStyle name="Normal 26 3 2" xfId="481" xr:uid="{00000000-0005-0000-0000-0000E3010000}"/>
    <cellStyle name="Normal 26 3 2 2" xfId="482" xr:uid="{00000000-0005-0000-0000-0000E4010000}"/>
    <cellStyle name="Normal 26 3 3" xfId="483" xr:uid="{00000000-0005-0000-0000-0000E5010000}"/>
    <cellStyle name="Normal 26 4" xfId="484" xr:uid="{00000000-0005-0000-0000-0000E6010000}"/>
    <cellStyle name="Normal 26 4 2" xfId="485" xr:uid="{00000000-0005-0000-0000-0000E7010000}"/>
    <cellStyle name="Normal 26 5" xfId="486" xr:uid="{00000000-0005-0000-0000-0000E8010000}"/>
    <cellStyle name="Normal 27" xfId="487" xr:uid="{00000000-0005-0000-0000-0000E9010000}"/>
    <cellStyle name="Normal 28" xfId="488" xr:uid="{00000000-0005-0000-0000-0000EA010000}"/>
    <cellStyle name="Normal 29" xfId="489" xr:uid="{00000000-0005-0000-0000-0000EB010000}"/>
    <cellStyle name="Normal 3" xfId="490" xr:uid="{00000000-0005-0000-0000-0000EC010000}"/>
    <cellStyle name="Normal 3 2" xfId="491" xr:uid="{00000000-0005-0000-0000-0000ED010000}"/>
    <cellStyle name="Normal 3 2 2" xfId="492" xr:uid="{00000000-0005-0000-0000-0000EE010000}"/>
    <cellStyle name="Normal 3 2 2 2" xfId="493" xr:uid="{00000000-0005-0000-0000-0000EF010000}"/>
    <cellStyle name="Normal 3 2 2 2 2" xfId="494" xr:uid="{00000000-0005-0000-0000-0000F0010000}"/>
    <cellStyle name="Normal 3 2 2 2 2 2" xfId="495" xr:uid="{00000000-0005-0000-0000-0000F1010000}"/>
    <cellStyle name="Normal 3 2 2 2 3" xfId="496" xr:uid="{00000000-0005-0000-0000-0000F2010000}"/>
    <cellStyle name="Normal 3 2 2 3" xfId="497" xr:uid="{00000000-0005-0000-0000-0000F3010000}"/>
    <cellStyle name="Normal 3 2 2 3 2" xfId="498" xr:uid="{00000000-0005-0000-0000-0000F4010000}"/>
    <cellStyle name="Normal 3 2 2 3 2 2" xfId="499" xr:uid="{00000000-0005-0000-0000-0000F5010000}"/>
    <cellStyle name="Normal 3 2 2 3 3" xfId="500" xr:uid="{00000000-0005-0000-0000-0000F6010000}"/>
    <cellStyle name="Normal 3 2 2 4" xfId="501" xr:uid="{00000000-0005-0000-0000-0000F7010000}"/>
    <cellStyle name="Normal 3 2 2 4 2" xfId="502" xr:uid="{00000000-0005-0000-0000-0000F8010000}"/>
    <cellStyle name="Normal 3 2 2 5" xfId="503" xr:uid="{00000000-0005-0000-0000-0000F9010000}"/>
    <cellStyle name="Normal 3 2 3" xfId="504" xr:uid="{00000000-0005-0000-0000-0000FA010000}"/>
    <cellStyle name="Normal 3 2 3 2" xfId="505" xr:uid="{00000000-0005-0000-0000-0000FB010000}"/>
    <cellStyle name="Normal 3 2 3 2 2" xfId="506" xr:uid="{00000000-0005-0000-0000-0000FC010000}"/>
    <cellStyle name="Normal 3 2 3 3" xfId="507" xr:uid="{00000000-0005-0000-0000-0000FD010000}"/>
    <cellStyle name="Normal 3 2 4" xfId="508" xr:uid="{00000000-0005-0000-0000-0000FE010000}"/>
    <cellStyle name="Normal 3 2 4 2" xfId="509" xr:uid="{00000000-0005-0000-0000-0000FF010000}"/>
    <cellStyle name="Normal 3 2 4 2 2" xfId="510" xr:uid="{00000000-0005-0000-0000-000000020000}"/>
    <cellStyle name="Normal 3 2 4 3" xfId="511" xr:uid="{00000000-0005-0000-0000-000001020000}"/>
    <cellStyle name="Normal 3 2 5" xfId="512" xr:uid="{00000000-0005-0000-0000-000002020000}"/>
    <cellStyle name="Normal 3 2 5 2" xfId="513" xr:uid="{00000000-0005-0000-0000-000003020000}"/>
    <cellStyle name="Normal 3 2 6" xfId="514" xr:uid="{00000000-0005-0000-0000-000004020000}"/>
    <cellStyle name="Normal 3 3" xfId="515" xr:uid="{00000000-0005-0000-0000-000005020000}"/>
    <cellStyle name="Normal 3 3 2" xfId="516" xr:uid="{00000000-0005-0000-0000-000006020000}"/>
    <cellStyle name="Normal 3 3 2 2" xfId="517" xr:uid="{00000000-0005-0000-0000-000007020000}"/>
    <cellStyle name="Normal 3 3 2 2 2" xfId="518" xr:uid="{00000000-0005-0000-0000-000008020000}"/>
    <cellStyle name="Normal 3 3 2 3" xfId="519" xr:uid="{00000000-0005-0000-0000-000009020000}"/>
    <cellStyle name="Normal 3 3 3" xfId="520" xr:uid="{00000000-0005-0000-0000-00000A020000}"/>
    <cellStyle name="Normal 3 3 3 2" xfId="521" xr:uid="{00000000-0005-0000-0000-00000B020000}"/>
    <cellStyle name="Normal 3 3 3 2 2" xfId="522" xr:uid="{00000000-0005-0000-0000-00000C020000}"/>
    <cellStyle name="Normal 3 3 3 3" xfId="523" xr:uid="{00000000-0005-0000-0000-00000D020000}"/>
    <cellStyle name="Normal 3 3 4" xfId="524" xr:uid="{00000000-0005-0000-0000-00000E020000}"/>
    <cellStyle name="Normal 3 3 4 2" xfId="525" xr:uid="{00000000-0005-0000-0000-00000F020000}"/>
    <cellStyle name="Normal 3 3 5" xfId="526" xr:uid="{00000000-0005-0000-0000-000010020000}"/>
    <cellStyle name="Normal 3 4" xfId="527" xr:uid="{00000000-0005-0000-0000-000011020000}"/>
    <cellStyle name="Normal 3 4 2" xfId="528" xr:uid="{00000000-0005-0000-0000-000012020000}"/>
    <cellStyle name="Normal 3 4 2 2" xfId="529" xr:uid="{00000000-0005-0000-0000-000013020000}"/>
    <cellStyle name="Normal 3 4 3" xfId="530" xr:uid="{00000000-0005-0000-0000-000014020000}"/>
    <cellStyle name="Normal 3 5" xfId="531" xr:uid="{00000000-0005-0000-0000-000015020000}"/>
    <cellStyle name="Normal 3 5 2" xfId="532" xr:uid="{00000000-0005-0000-0000-000016020000}"/>
    <cellStyle name="Normal 3 5 2 2" xfId="533" xr:uid="{00000000-0005-0000-0000-000017020000}"/>
    <cellStyle name="Normal 3 5 3" xfId="534" xr:uid="{00000000-0005-0000-0000-000018020000}"/>
    <cellStyle name="Normal 3 6" xfId="535" xr:uid="{00000000-0005-0000-0000-000019020000}"/>
    <cellStyle name="Normal 3 6 2" xfId="536" xr:uid="{00000000-0005-0000-0000-00001A020000}"/>
    <cellStyle name="Normal 3 6 2 2" xfId="537" xr:uid="{00000000-0005-0000-0000-00001B020000}"/>
    <cellStyle name="Normal 3 6 3" xfId="538" xr:uid="{00000000-0005-0000-0000-00001C020000}"/>
    <cellStyle name="Normal 3 7" xfId="539" xr:uid="{00000000-0005-0000-0000-00001D020000}"/>
    <cellStyle name="Normal 3 7 2" xfId="540" xr:uid="{00000000-0005-0000-0000-00001E020000}"/>
    <cellStyle name="Normal 3 8" xfId="541" xr:uid="{00000000-0005-0000-0000-00001F020000}"/>
    <cellStyle name="Normal 3 8 2" xfId="542" xr:uid="{00000000-0005-0000-0000-000020020000}"/>
    <cellStyle name="Normal 3 9" xfId="543" xr:uid="{00000000-0005-0000-0000-000021020000}"/>
    <cellStyle name="Normal 30" xfId="544" xr:uid="{00000000-0005-0000-0000-000022020000}"/>
    <cellStyle name="Normal 30 2" xfId="545" xr:uid="{00000000-0005-0000-0000-000023020000}"/>
    <cellStyle name="Normal 30 2 2" xfId="546" xr:uid="{00000000-0005-0000-0000-000024020000}"/>
    <cellStyle name="Normal 30 2 2 2" xfId="547" xr:uid="{00000000-0005-0000-0000-000025020000}"/>
    <cellStyle name="Normal 30 2 3" xfId="548" xr:uid="{00000000-0005-0000-0000-000026020000}"/>
    <cellStyle name="Normal 31" xfId="549" xr:uid="{00000000-0005-0000-0000-000027020000}"/>
    <cellStyle name="Normal 31 2" xfId="550" xr:uid="{00000000-0005-0000-0000-000028020000}"/>
    <cellStyle name="Normal 31 2 2" xfId="551" xr:uid="{00000000-0005-0000-0000-000029020000}"/>
    <cellStyle name="Normal 31 3" xfId="552" xr:uid="{00000000-0005-0000-0000-00002A020000}"/>
    <cellStyle name="Normal 32" xfId="553" xr:uid="{00000000-0005-0000-0000-00002B020000}"/>
    <cellStyle name="Normal 32 2" xfId="554" xr:uid="{00000000-0005-0000-0000-00002C020000}"/>
    <cellStyle name="Normal 32 2 2" xfId="555" xr:uid="{00000000-0005-0000-0000-00002D020000}"/>
    <cellStyle name="Normal 32 3" xfId="556" xr:uid="{00000000-0005-0000-0000-00002E020000}"/>
    <cellStyle name="Normal 33" xfId="557" xr:uid="{00000000-0005-0000-0000-00002F020000}"/>
    <cellStyle name="Normal 33 2" xfId="558" xr:uid="{00000000-0005-0000-0000-000030020000}"/>
    <cellStyle name="Normal 33 2 2" xfId="559" xr:uid="{00000000-0005-0000-0000-000031020000}"/>
    <cellStyle name="Normal 33 3" xfId="560" xr:uid="{00000000-0005-0000-0000-000032020000}"/>
    <cellStyle name="Normal 34" xfId="561" xr:uid="{00000000-0005-0000-0000-000033020000}"/>
    <cellStyle name="Normal 34 2" xfId="562" xr:uid="{00000000-0005-0000-0000-000034020000}"/>
    <cellStyle name="Normal 34 2 2" xfId="563" xr:uid="{00000000-0005-0000-0000-000035020000}"/>
    <cellStyle name="Normal 34 3" xfId="564" xr:uid="{00000000-0005-0000-0000-000036020000}"/>
    <cellStyle name="Normal 35" xfId="565" xr:uid="{00000000-0005-0000-0000-000037020000}"/>
    <cellStyle name="Normal 35 2" xfId="566" xr:uid="{00000000-0005-0000-0000-000038020000}"/>
    <cellStyle name="Normal 35 2 2" xfId="567" xr:uid="{00000000-0005-0000-0000-000039020000}"/>
    <cellStyle name="Normal 35 3" xfId="568" xr:uid="{00000000-0005-0000-0000-00003A020000}"/>
    <cellStyle name="Normal 36" xfId="569" xr:uid="{00000000-0005-0000-0000-00003B020000}"/>
    <cellStyle name="Normal 36 2" xfId="570" xr:uid="{00000000-0005-0000-0000-00003C020000}"/>
    <cellStyle name="Normal 36 2 2" xfId="571" xr:uid="{00000000-0005-0000-0000-00003D020000}"/>
    <cellStyle name="Normal 36 3" xfId="572" xr:uid="{00000000-0005-0000-0000-00003E020000}"/>
    <cellStyle name="Normal 37" xfId="573" xr:uid="{00000000-0005-0000-0000-00003F020000}"/>
    <cellStyle name="Normal 37 2" xfId="574" xr:uid="{00000000-0005-0000-0000-000040020000}"/>
    <cellStyle name="Normal 37 2 2" xfId="575" xr:uid="{00000000-0005-0000-0000-000041020000}"/>
    <cellStyle name="Normal 37 3" xfId="576" xr:uid="{00000000-0005-0000-0000-000042020000}"/>
    <cellStyle name="Normal 38" xfId="577" xr:uid="{00000000-0005-0000-0000-000043020000}"/>
    <cellStyle name="Normal 39" xfId="578" xr:uid="{00000000-0005-0000-0000-000044020000}"/>
    <cellStyle name="Normal 4" xfId="579" xr:uid="{00000000-0005-0000-0000-000045020000}"/>
    <cellStyle name="Normal 4 2" xfId="580" xr:uid="{00000000-0005-0000-0000-000046020000}"/>
    <cellStyle name="Normal 4 2 2" xfId="581" xr:uid="{00000000-0005-0000-0000-000047020000}"/>
    <cellStyle name="Normal 4 2 2 2" xfId="582" xr:uid="{00000000-0005-0000-0000-000048020000}"/>
    <cellStyle name="Normal 4 2 2 2 2" xfId="583" xr:uid="{00000000-0005-0000-0000-000049020000}"/>
    <cellStyle name="Normal 4 2 2 3" xfId="584" xr:uid="{00000000-0005-0000-0000-00004A020000}"/>
    <cellStyle name="Normal 4 2 3" xfId="585" xr:uid="{00000000-0005-0000-0000-00004B020000}"/>
    <cellStyle name="Normal 4 2 3 2" xfId="586" xr:uid="{00000000-0005-0000-0000-00004C020000}"/>
    <cellStyle name="Normal 4 2 3 2 2" xfId="587" xr:uid="{00000000-0005-0000-0000-00004D020000}"/>
    <cellStyle name="Normal 4 2 3 3" xfId="588" xr:uid="{00000000-0005-0000-0000-00004E020000}"/>
    <cellStyle name="Normal 4 2 4" xfId="589" xr:uid="{00000000-0005-0000-0000-00004F020000}"/>
    <cellStyle name="Normal 4 2 4 2" xfId="590" xr:uid="{00000000-0005-0000-0000-000050020000}"/>
    <cellStyle name="Normal 4 2 5" xfId="591" xr:uid="{00000000-0005-0000-0000-000051020000}"/>
    <cellStyle name="Normal 4 3" xfId="592" xr:uid="{00000000-0005-0000-0000-000052020000}"/>
    <cellStyle name="Normal 4 3 2" xfId="593" xr:uid="{00000000-0005-0000-0000-000053020000}"/>
    <cellStyle name="Normal 4 3 2 2" xfId="594" xr:uid="{00000000-0005-0000-0000-000054020000}"/>
    <cellStyle name="Normal 4 3 3" xfId="595" xr:uid="{00000000-0005-0000-0000-000055020000}"/>
    <cellStyle name="Normal 4 4" xfId="596" xr:uid="{00000000-0005-0000-0000-000056020000}"/>
    <cellStyle name="Normal 4 4 2" xfId="597" xr:uid="{00000000-0005-0000-0000-000057020000}"/>
    <cellStyle name="Normal 4 4 2 2" xfId="598" xr:uid="{00000000-0005-0000-0000-000058020000}"/>
    <cellStyle name="Normal 4 4 3" xfId="599" xr:uid="{00000000-0005-0000-0000-000059020000}"/>
    <cellStyle name="Normal 4 5" xfId="600" xr:uid="{00000000-0005-0000-0000-00005A020000}"/>
    <cellStyle name="Normal 4 6" xfId="601" xr:uid="{00000000-0005-0000-0000-00005B020000}"/>
    <cellStyle name="Normal 4 6 2" xfId="602" xr:uid="{00000000-0005-0000-0000-00005C020000}"/>
    <cellStyle name="Normal 40" xfId="603" xr:uid="{00000000-0005-0000-0000-00005D020000}"/>
    <cellStyle name="Normal 41" xfId="604" xr:uid="{00000000-0005-0000-0000-00005E020000}"/>
    <cellStyle name="Normal 42" xfId="605" xr:uid="{00000000-0005-0000-0000-00005F020000}"/>
    <cellStyle name="Normal 43" xfId="606" xr:uid="{00000000-0005-0000-0000-000060020000}"/>
    <cellStyle name="Normal 43 2" xfId="607" xr:uid="{00000000-0005-0000-0000-000061020000}"/>
    <cellStyle name="Normal 43 3" xfId="608" xr:uid="{00000000-0005-0000-0000-000062020000}"/>
    <cellStyle name="Normal 44" xfId="609" xr:uid="{00000000-0005-0000-0000-000063020000}"/>
    <cellStyle name="Normal 44 2" xfId="610" xr:uid="{00000000-0005-0000-0000-000064020000}"/>
    <cellStyle name="Normal 44 3" xfId="611" xr:uid="{00000000-0005-0000-0000-000065020000}"/>
    <cellStyle name="Normal 45" xfId="612" xr:uid="{00000000-0005-0000-0000-000066020000}"/>
    <cellStyle name="Normal 45 2" xfId="613" xr:uid="{00000000-0005-0000-0000-000067020000}"/>
    <cellStyle name="Normal 45 3" xfId="614" xr:uid="{00000000-0005-0000-0000-000068020000}"/>
    <cellStyle name="Normal 46" xfId="615" xr:uid="{00000000-0005-0000-0000-000069020000}"/>
    <cellStyle name="Normal 46 2" xfId="616" xr:uid="{00000000-0005-0000-0000-00006A020000}"/>
    <cellStyle name="Normal 46 3" xfId="617" xr:uid="{00000000-0005-0000-0000-00006B020000}"/>
    <cellStyle name="Normal 47" xfId="618" xr:uid="{00000000-0005-0000-0000-00006C020000}"/>
    <cellStyle name="Normal 47 2" xfId="619" xr:uid="{00000000-0005-0000-0000-00006D020000}"/>
    <cellStyle name="Normal 47 3" xfId="620" xr:uid="{00000000-0005-0000-0000-00006E020000}"/>
    <cellStyle name="Normal 48" xfId="621" xr:uid="{00000000-0005-0000-0000-00006F020000}"/>
    <cellStyle name="Normal 48 2" xfId="622" xr:uid="{00000000-0005-0000-0000-000070020000}"/>
    <cellStyle name="Normal 48 3" xfId="623" xr:uid="{00000000-0005-0000-0000-000071020000}"/>
    <cellStyle name="Normal 49" xfId="624" xr:uid="{00000000-0005-0000-0000-000072020000}"/>
    <cellStyle name="Normal 49 2" xfId="625" xr:uid="{00000000-0005-0000-0000-000073020000}"/>
    <cellStyle name="Normal 49 3" xfId="626" xr:uid="{00000000-0005-0000-0000-000074020000}"/>
    <cellStyle name="Normal 5" xfId="627" xr:uid="{00000000-0005-0000-0000-000075020000}"/>
    <cellStyle name="Normal 5 2" xfId="628" xr:uid="{00000000-0005-0000-0000-000076020000}"/>
    <cellStyle name="Normal 5 2 2" xfId="629" xr:uid="{00000000-0005-0000-0000-000077020000}"/>
    <cellStyle name="Normal 5 2 2 2" xfId="630" xr:uid="{00000000-0005-0000-0000-000078020000}"/>
    <cellStyle name="Normal 5 2 2 2 2" xfId="631" xr:uid="{00000000-0005-0000-0000-000079020000}"/>
    <cellStyle name="Normal 5 2 2 3" xfId="632" xr:uid="{00000000-0005-0000-0000-00007A020000}"/>
    <cellStyle name="Normal 5 2 3" xfId="633" xr:uid="{00000000-0005-0000-0000-00007B020000}"/>
    <cellStyle name="Normal 5 2 3 2" xfId="634" xr:uid="{00000000-0005-0000-0000-00007C020000}"/>
    <cellStyle name="Normal 5 2 3 2 2" xfId="635" xr:uid="{00000000-0005-0000-0000-00007D020000}"/>
    <cellStyle name="Normal 5 2 3 3" xfId="636" xr:uid="{00000000-0005-0000-0000-00007E020000}"/>
    <cellStyle name="Normal 5 2 4" xfId="637" xr:uid="{00000000-0005-0000-0000-00007F020000}"/>
    <cellStyle name="Normal 5 2 4 2" xfId="638" xr:uid="{00000000-0005-0000-0000-000080020000}"/>
    <cellStyle name="Normal 5 2 5" xfId="639" xr:uid="{00000000-0005-0000-0000-000081020000}"/>
    <cellStyle name="Normal 5 3" xfId="640" xr:uid="{00000000-0005-0000-0000-000082020000}"/>
    <cellStyle name="Normal 5 3 2" xfId="641" xr:uid="{00000000-0005-0000-0000-000083020000}"/>
    <cellStyle name="Normal 5 3 2 2" xfId="642" xr:uid="{00000000-0005-0000-0000-000084020000}"/>
    <cellStyle name="Normal 5 3 3" xfId="643" xr:uid="{00000000-0005-0000-0000-000085020000}"/>
    <cellStyle name="Normal 5 4" xfId="644" xr:uid="{00000000-0005-0000-0000-000086020000}"/>
    <cellStyle name="Normal 5 4 2" xfId="645" xr:uid="{00000000-0005-0000-0000-000087020000}"/>
    <cellStyle name="Normal 5 4 2 2" xfId="646" xr:uid="{00000000-0005-0000-0000-000088020000}"/>
    <cellStyle name="Normal 5 4 3" xfId="647" xr:uid="{00000000-0005-0000-0000-000089020000}"/>
    <cellStyle name="Normal 5 5" xfId="648" xr:uid="{00000000-0005-0000-0000-00008A020000}"/>
    <cellStyle name="Normal 5 5 2" xfId="649" xr:uid="{00000000-0005-0000-0000-00008B020000}"/>
    <cellStyle name="Normal 5 5 2 2" xfId="650" xr:uid="{00000000-0005-0000-0000-00008C020000}"/>
    <cellStyle name="Normal 5 5 3" xfId="651" xr:uid="{00000000-0005-0000-0000-00008D020000}"/>
    <cellStyle name="Normal 5 6" xfId="652" xr:uid="{00000000-0005-0000-0000-00008E020000}"/>
    <cellStyle name="Normal 5 6 2" xfId="653" xr:uid="{00000000-0005-0000-0000-00008F020000}"/>
    <cellStyle name="Normal 5 7" xfId="654" xr:uid="{00000000-0005-0000-0000-000090020000}"/>
    <cellStyle name="Normal 5 7 2" xfId="655" xr:uid="{00000000-0005-0000-0000-000091020000}"/>
    <cellStyle name="Normal 5 8" xfId="656" xr:uid="{00000000-0005-0000-0000-000092020000}"/>
    <cellStyle name="Normal 5 9" xfId="822" xr:uid="{00000000-0005-0000-0000-000093020000}"/>
    <cellStyle name="Normal 50" xfId="657" xr:uid="{00000000-0005-0000-0000-000094020000}"/>
    <cellStyle name="Normal 51" xfId="658" xr:uid="{00000000-0005-0000-0000-000095020000}"/>
    <cellStyle name="Normal 52" xfId="659" xr:uid="{00000000-0005-0000-0000-000096020000}"/>
    <cellStyle name="Normal 53" xfId="660" xr:uid="{00000000-0005-0000-0000-000097020000}"/>
    <cellStyle name="Normal 54" xfId="817" xr:uid="{00000000-0005-0000-0000-000098020000}"/>
    <cellStyle name="Normal 55" xfId="824" xr:uid="{B02141C7-BD4B-4762-A442-4B1C34E21500}"/>
    <cellStyle name="Normal 6" xfId="661" xr:uid="{00000000-0005-0000-0000-000099020000}"/>
    <cellStyle name="Normal 6 2" xfId="662" xr:uid="{00000000-0005-0000-0000-00009A020000}"/>
    <cellStyle name="Normal 6 2 2" xfId="663" xr:uid="{00000000-0005-0000-0000-00009B020000}"/>
    <cellStyle name="Normal 6 2 2 2" xfId="664" xr:uid="{00000000-0005-0000-0000-00009C020000}"/>
    <cellStyle name="Normal 6 2 3" xfId="665" xr:uid="{00000000-0005-0000-0000-00009D020000}"/>
    <cellStyle name="Normal 6 3" xfId="666" xr:uid="{00000000-0005-0000-0000-00009E020000}"/>
    <cellStyle name="Normal 6 4" xfId="667" xr:uid="{00000000-0005-0000-0000-00009F020000}"/>
    <cellStyle name="Normal 6 4 2" xfId="668" xr:uid="{00000000-0005-0000-0000-0000A0020000}"/>
    <cellStyle name="Normal 6 5" xfId="669" xr:uid="{00000000-0005-0000-0000-0000A1020000}"/>
    <cellStyle name="Normal 7" xfId="670" xr:uid="{00000000-0005-0000-0000-0000A2020000}"/>
    <cellStyle name="Normal 7 2" xfId="671" xr:uid="{00000000-0005-0000-0000-0000A3020000}"/>
    <cellStyle name="Normal 7 2 2" xfId="672" xr:uid="{00000000-0005-0000-0000-0000A4020000}"/>
    <cellStyle name="Normal 7 2 2 2" xfId="673" xr:uid="{00000000-0005-0000-0000-0000A5020000}"/>
    <cellStyle name="Normal 7 2 3" xfId="674" xr:uid="{00000000-0005-0000-0000-0000A6020000}"/>
    <cellStyle name="Normal 7 3" xfId="675" xr:uid="{00000000-0005-0000-0000-0000A7020000}"/>
    <cellStyle name="Normal 7 4" xfId="676" xr:uid="{00000000-0005-0000-0000-0000A8020000}"/>
    <cellStyle name="Normal 7 4 2" xfId="677" xr:uid="{00000000-0005-0000-0000-0000A9020000}"/>
    <cellStyle name="Normal 7 5" xfId="678" xr:uid="{00000000-0005-0000-0000-0000AA020000}"/>
    <cellStyle name="Normal 8" xfId="679" xr:uid="{00000000-0005-0000-0000-0000AB020000}"/>
    <cellStyle name="Normal 8 2" xfId="680" xr:uid="{00000000-0005-0000-0000-0000AC020000}"/>
    <cellStyle name="Normal 8 2 2" xfId="681" xr:uid="{00000000-0005-0000-0000-0000AD020000}"/>
    <cellStyle name="Normal 8 2 2 2" xfId="682" xr:uid="{00000000-0005-0000-0000-0000AE020000}"/>
    <cellStyle name="Normal 8 2 3" xfId="683" xr:uid="{00000000-0005-0000-0000-0000AF020000}"/>
    <cellStyle name="Normal 8 3" xfId="684" xr:uid="{00000000-0005-0000-0000-0000B0020000}"/>
    <cellStyle name="Normal 8 3 2" xfId="685" xr:uid="{00000000-0005-0000-0000-0000B1020000}"/>
    <cellStyle name="Normal 8 3 2 2" xfId="686" xr:uid="{00000000-0005-0000-0000-0000B2020000}"/>
    <cellStyle name="Normal 8 3 3" xfId="687" xr:uid="{00000000-0005-0000-0000-0000B3020000}"/>
    <cellStyle name="Normal 8 4" xfId="688" xr:uid="{00000000-0005-0000-0000-0000B4020000}"/>
    <cellStyle name="Normal 8 4 2" xfId="689" xr:uid="{00000000-0005-0000-0000-0000B5020000}"/>
    <cellStyle name="Normal 8 4 2 2" xfId="690" xr:uid="{00000000-0005-0000-0000-0000B6020000}"/>
    <cellStyle name="Normal 8 4 3" xfId="691" xr:uid="{00000000-0005-0000-0000-0000B7020000}"/>
    <cellStyle name="Normal 8 5" xfId="692" xr:uid="{00000000-0005-0000-0000-0000B8020000}"/>
    <cellStyle name="Normal 8 5 2" xfId="693" xr:uid="{00000000-0005-0000-0000-0000B9020000}"/>
    <cellStyle name="Normal 8 6" xfId="694" xr:uid="{00000000-0005-0000-0000-0000BA020000}"/>
    <cellStyle name="Normal 8 6 2" xfId="695" xr:uid="{00000000-0005-0000-0000-0000BB020000}"/>
    <cellStyle name="Normal 8 7" xfId="696" xr:uid="{00000000-0005-0000-0000-0000BC020000}"/>
    <cellStyle name="Normal 9" xfId="697" xr:uid="{00000000-0005-0000-0000-0000BD020000}"/>
    <cellStyle name="Normal 9 2" xfId="698" xr:uid="{00000000-0005-0000-0000-0000BE020000}"/>
    <cellStyle name="Normal 9 2 2" xfId="699" xr:uid="{00000000-0005-0000-0000-0000BF020000}"/>
    <cellStyle name="Normal 9 2 2 2" xfId="700" xr:uid="{00000000-0005-0000-0000-0000C0020000}"/>
    <cellStyle name="Normal 9 2 3" xfId="701" xr:uid="{00000000-0005-0000-0000-0000C1020000}"/>
    <cellStyle name="Normal 9 3" xfId="702" xr:uid="{00000000-0005-0000-0000-0000C2020000}"/>
    <cellStyle name="Normal 9 3 2" xfId="703" xr:uid="{00000000-0005-0000-0000-0000C3020000}"/>
    <cellStyle name="Normal 9 3 2 2" xfId="704" xr:uid="{00000000-0005-0000-0000-0000C4020000}"/>
    <cellStyle name="Normal 9 3 3" xfId="705" xr:uid="{00000000-0005-0000-0000-0000C5020000}"/>
    <cellStyle name="Normal 9 4" xfId="706" xr:uid="{00000000-0005-0000-0000-0000C6020000}"/>
    <cellStyle name="Normal 9 4 2" xfId="707" xr:uid="{00000000-0005-0000-0000-0000C7020000}"/>
    <cellStyle name="Normal 9 4 2 2" xfId="708" xr:uid="{00000000-0005-0000-0000-0000C8020000}"/>
    <cellStyle name="Normal 9 4 3" xfId="709" xr:uid="{00000000-0005-0000-0000-0000C9020000}"/>
    <cellStyle name="Normal 9 5" xfId="710" xr:uid="{00000000-0005-0000-0000-0000CA020000}"/>
    <cellStyle name="Normal 9 5 2" xfId="711" xr:uid="{00000000-0005-0000-0000-0000CB020000}"/>
    <cellStyle name="Normal 9 6" xfId="712" xr:uid="{00000000-0005-0000-0000-0000CC020000}"/>
    <cellStyle name="Normal 9 6 2" xfId="713" xr:uid="{00000000-0005-0000-0000-0000CD020000}"/>
    <cellStyle name="Normal 9 7" xfId="714" xr:uid="{00000000-0005-0000-0000-0000CE020000}"/>
    <cellStyle name="Normal_Operating Stmt Comparative Anal" xfId="715" xr:uid="{00000000-0005-0000-0000-0000CF020000}"/>
    <cellStyle name="Normal_Westlake Plaza18m" xfId="716" xr:uid="{00000000-0005-0000-0000-0000D0020000}"/>
    <cellStyle name="Note" xfId="816" builtinId="10"/>
    <cellStyle name="Note 2" xfId="818" xr:uid="{00000000-0005-0000-0000-0000D2020000}"/>
    <cellStyle name="Note 3" xfId="820" xr:uid="{00000000-0005-0000-0000-0000D3020000}"/>
    <cellStyle name="OddBodyShade" xfId="717" xr:uid="{00000000-0005-0000-0000-0000D4020000}"/>
    <cellStyle name="Percent" xfId="718" builtinId="5"/>
    <cellStyle name="Percent [0]" xfId="719" xr:uid="{00000000-0005-0000-0000-0000D6020000}"/>
    <cellStyle name="Percent [00]" xfId="720" xr:uid="{00000000-0005-0000-0000-0000D7020000}"/>
    <cellStyle name="Percent [2]" xfId="721" xr:uid="{00000000-0005-0000-0000-0000D8020000}"/>
    <cellStyle name="Percent [2] 2" xfId="722" xr:uid="{00000000-0005-0000-0000-0000D9020000}"/>
    <cellStyle name="Percent 10" xfId="723" xr:uid="{00000000-0005-0000-0000-0000DA020000}"/>
    <cellStyle name="Percent 10 2" xfId="724" xr:uid="{00000000-0005-0000-0000-0000DB020000}"/>
    <cellStyle name="Percent 10 2 2" xfId="725" xr:uid="{00000000-0005-0000-0000-0000DC020000}"/>
    <cellStyle name="Percent 10 3" xfId="726" xr:uid="{00000000-0005-0000-0000-0000DD020000}"/>
    <cellStyle name="Percent 10 4" xfId="727" xr:uid="{00000000-0005-0000-0000-0000DE020000}"/>
    <cellStyle name="Percent 10 5" xfId="728" xr:uid="{00000000-0005-0000-0000-0000DF020000}"/>
    <cellStyle name="Percent 11" xfId="729" xr:uid="{00000000-0005-0000-0000-0000E0020000}"/>
    <cellStyle name="Percent 11 2" xfId="730" xr:uid="{00000000-0005-0000-0000-0000E1020000}"/>
    <cellStyle name="Percent 11 2 2" xfId="731" xr:uid="{00000000-0005-0000-0000-0000E2020000}"/>
    <cellStyle name="Percent 11 3" xfId="732" xr:uid="{00000000-0005-0000-0000-0000E3020000}"/>
    <cellStyle name="Percent 11 4" xfId="733" xr:uid="{00000000-0005-0000-0000-0000E4020000}"/>
    <cellStyle name="Percent 11 5" xfId="734" xr:uid="{00000000-0005-0000-0000-0000E5020000}"/>
    <cellStyle name="Percent 12" xfId="735" xr:uid="{00000000-0005-0000-0000-0000E6020000}"/>
    <cellStyle name="Percent 12 2" xfId="736" xr:uid="{00000000-0005-0000-0000-0000E7020000}"/>
    <cellStyle name="Percent 12 2 2" xfId="737" xr:uid="{00000000-0005-0000-0000-0000E8020000}"/>
    <cellStyle name="Percent 12 3" xfId="738" xr:uid="{00000000-0005-0000-0000-0000E9020000}"/>
    <cellStyle name="Percent 12 4" xfId="739" xr:uid="{00000000-0005-0000-0000-0000EA020000}"/>
    <cellStyle name="Percent 12 5" xfId="740" xr:uid="{00000000-0005-0000-0000-0000EB020000}"/>
    <cellStyle name="Percent 13" xfId="741" xr:uid="{00000000-0005-0000-0000-0000EC020000}"/>
    <cellStyle name="Percent 14" xfId="742" xr:uid="{00000000-0005-0000-0000-0000ED020000}"/>
    <cellStyle name="Percent 15" xfId="743" xr:uid="{00000000-0005-0000-0000-0000EE020000}"/>
    <cellStyle name="Percent 16" xfId="744" xr:uid="{00000000-0005-0000-0000-0000EF020000}"/>
    <cellStyle name="Percent 17" xfId="745" xr:uid="{00000000-0005-0000-0000-0000F0020000}"/>
    <cellStyle name="Percent 18" xfId="746" xr:uid="{00000000-0005-0000-0000-0000F1020000}"/>
    <cellStyle name="Percent 19" xfId="747" xr:uid="{00000000-0005-0000-0000-0000F2020000}"/>
    <cellStyle name="Percent 2" xfId="748" xr:uid="{00000000-0005-0000-0000-0000F3020000}"/>
    <cellStyle name="Percent 2 2" xfId="749" xr:uid="{00000000-0005-0000-0000-0000F4020000}"/>
    <cellStyle name="Percent 2 2 2" xfId="750" xr:uid="{00000000-0005-0000-0000-0000F5020000}"/>
    <cellStyle name="Percent 2 3" xfId="751" xr:uid="{00000000-0005-0000-0000-0000F6020000}"/>
    <cellStyle name="Percent 2 4" xfId="752" xr:uid="{00000000-0005-0000-0000-0000F7020000}"/>
    <cellStyle name="Percent 2 5" xfId="753" xr:uid="{00000000-0005-0000-0000-0000F8020000}"/>
    <cellStyle name="Percent 20" xfId="754" xr:uid="{00000000-0005-0000-0000-0000F9020000}"/>
    <cellStyle name="Percent 21" xfId="755" xr:uid="{00000000-0005-0000-0000-0000FA020000}"/>
    <cellStyle name="Percent 22" xfId="756" xr:uid="{00000000-0005-0000-0000-0000FB020000}"/>
    <cellStyle name="Percent 23" xfId="757" xr:uid="{00000000-0005-0000-0000-0000FC020000}"/>
    <cellStyle name="Percent 24" xfId="758" xr:uid="{00000000-0005-0000-0000-0000FD020000}"/>
    <cellStyle name="Percent 25" xfId="759" xr:uid="{00000000-0005-0000-0000-0000FE020000}"/>
    <cellStyle name="Percent 26" xfId="760" xr:uid="{00000000-0005-0000-0000-0000FF020000}"/>
    <cellStyle name="Percent 27" xfId="819" xr:uid="{00000000-0005-0000-0000-000000030000}"/>
    <cellStyle name="Percent 28" xfId="826" xr:uid="{BF3B44F9-535E-4D61-AFC5-C867B44358FB}"/>
    <cellStyle name="Percent 3" xfId="761" xr:uid="{00000000-0005-0000-0000-000001030000}"/>
    <cellStyle name="Percent 4" xfId="762" xr:uid="{00000000-0005-0000-0000-000002030000}"/>
    <cellStyle name="Percent 4 2" xfId="763" xr:uid="{00000000-0005-0000-0000-000003030000}"/>
    <cellStyle name="Percent 4 2 2" xfId="764" xr:uid="{00000000-0005-0000-0000-000004030000}"/>
    <cellStyle name="Percent 4 3" xfId="765" xr:uid="{00000000-0005-0000-0000-000005030000}"/>
    <cellStyle name="Percent 4 4" xfId="766" xr:uid="{00000000-0005-0000-0000-000006030000}"/>
    <cellStyle name="Percent 4 5" xfId="767" xr:uid="{00000000-0005-0000-0000-000007030000}"/>
    <cellStyle name="Percent 5" xfId="768" xr:uid="{00000000-0005-0000-0000-000008030000}"/>
    <cellStyle name="Percent 5 2" xfId="769" xr:uid="{00000000-0005-0000-0000-000009030000}"/>
    <cellStyle name="Percent 5 2 2" xfId="770" xr:uid="{00000000-0005-0000-0000-00000A030000}"/>
    <cellStyle name="Percent 5 3" xfId="771" xr:uid="{00000000-0005-0000-0000-00000B030000}"/>
    <cellStyle name="Percent 5 4" xfId="772" xr:uid="{00000000-0005-0000-0000-00000C030000}"/>
    <cellStyle name="Percent 5 5" xfId="773" xr:uid="{00000000-0005-0000-0000-00000D030000}"/>
    <cellStyle name="Percent 6" xfId="774" xr:uid="{00000000-0005-0000-0000-00000E030000}"/>
    <cellStyle name="Percent 6 2" xfId="775" xr:uid="{00000000-0005-0000-0000-00000F030000}"/>
    <cellStyle name="Percent 6 2 2" xfId="776" xr:uid="{00000000-0005-0000-0000-000010030000}"/>
    <cellStyle name="Percent 6 3" xfId="777" xr:uid="{00000000-0005-0000-0000-000011030000}"/>
    <cellStyle name="Percent 6 4" xfId="778" xr:uid="{00000000-0005-0000-0000-000012030000}"/>
    <cellStyle name="Percent 6 5" xfId="779" xr:uid="{00000000-0005-0000-0000-000013030000}"/>
    <cellStyle name="Percent 7" xfId="780" xr:uid="{00000000-0005-0000-0000-000014030000}"/>
    <cellStyle name="Percent 7 2" xfId="781" xr:uid="{00000000-0005-0000-0000-000015030000}"/>
    <cellStyle name="Percent 7 2 2" xfId="782" xr:uid="{00000000-0005-0000-0000-000016030000}"/>
    <cellStyle name="Percent 7 3" xfId="783" xr:uid="{00000000-0005-0000-0000-000017030000}"/>
    <cellStyle name="Percent 7 4" xfId="784" xr:uid="{00000000-0005-0000-0000-000018030000}"/>
    <cellStyle name="Percent 7 5" xfId="785" xr:uid="{00000000-0005-0000-0000-000019030000}"/>
    <cellStyle name="Percent 8" xfId="786" xr:uid="{00000000-0005-0000-0000-00001A030000}"/>
    <cellStyle name="Percent 8 2" xfId="787" xr:uid="{00000000-0005-0000-0000-00001B030000}"/>
    <cellStyle name="Percent 8 2 2" xfId="788" xr:uid="{00000000-0005-0000-0000-00001C030000}"/>
    <cellStyle name="Percent 8 3" xfId="789" xr:uid="{00000000-0005-0000-0000-00001D030000}"/>
    <cellStyle name="Percent 8 4" xfId="790" xr:uid="{00000000-0005-0000-0000-00001E030000}"/>
    <cellStyle name="Percent 8 5" xfId="791" xr:uid="{00000000-0005-0000-0000-00001F030000}"/>
    <cellStyle name="Percent 9" xfId="792" xr:uid="{00000000-0005-0000-0000-000020030000}"/>
    <cellStyle name="Percent 9 2" xfId="793" xr:uid="{00000000-0005-0000-0000-000021030000}"/>
    <cellStyle name="Percent 9 2 2" xfId="794" xr:uid="{00000000-0005-0000-0000-000022030000}"/>
    <cellStyle name="Percent 9 3" xfId="795" xr:uid="{00000000-0005-0000-0000-000023030000}"/>
    <cellStyle name="Percent 9 4" xfId="796" xr:uid="{00000000-0005-0000-0000-000024030000}"/>
    <cellStyle name="Percent 9 5" xfId="797" xr:uid="{00000000-0005-0000-0000-000025030000}"/>
    <cellStyle name="PrePop Currency (0)" xfId="798" xr:uid="{00000000-0005-0000-0000-000026030000}"/>
    <cellStyle name="PrePop Currency (2)" xfId="799" xr:uid="{00000000-0005-0000-0000-000027030000}"/>
    <cellStyle name="PrePop Units (0)" xfId="800" xr:uid="{00000000-0005-0000-0000-000028030000}"/>
    <cellStyle name="PrePop Units (1)" xfId="801" xr:uid="{00000000-0005-0000-0000-000029030000}"/>
    <cellStyle name="PrePop Units (2)" xfId="802" xr:uid="{00000000-0005-0000-0000-00002A030000}"/>
    <cellStyle name="Standard_Anpassen der Amortisation" xfId="803" xr:uid="{00000000-0005-0000-0000-00002B030000}"/>
    <cellStyle name="T" xfId="804" xr:uid="{00000000-0005-0000-0000-00002C030000}"/>
    <cellStyle name="Text Indent A" xfId="805" xr:uid="{00000000-0005-0000-0000-00002D030000}"/>
    <cellStyle name="Text Indent A 2" xfId="806" xr:uid="{00000000-0005-0000-0000-00002E030000}"/>
    <cellStyle name="Text Indent B" xfId="807" xr:uid="{00000000-0005-0000-0000-00002F030000}"/>
    <cellStyle name="Text Indent C" xfId="808" xr:uid="{00000000-0005-0000-0000-000030030000}"/>
    <cellStyle name="Title 2" xfId="809" xr:uid="{00000000-0005-0000-0000-000031030000}"/>
    <cellStyle name="Title1" xfId="810" xr:uid="{00000000-0005-0000-0000-000032030000}"/>
    <cellStyle name="TitleOther" xfId="811" xr:uid="{00000000-0005-0000-0000-000033030000}"/>
    <cellStyle name="Total 2" xfId="812" xr:uid="{00000000-0005-0000-0000-000034030000}"/>
    <cellStyle name="Underscore" xfId="813" xr:uid="{00000000-0005-0000-0000-000035030000}"/>
    <cellStyle name="Währung [0]_Compiling Utility Macros" xfId="814" xr:uid="{00000000-0005-0000-0000-000036030000}"/>
    <cellStyle name="Währung_Compiling Utility Macros" xfId="815" xr:uid="{00000000-0005-0000-0000-000037030000}"/>
  </cellStyles>
  <dxfs count="168">
    <dxf>
      <fill>
        <patternFill>
          <fgColor indexed="64"/>
          <bgColor rgb="FFE7E6E6"/>
        </patternFill>
      </fill>
    </dxf>
    <dxf>
      <fill>
        <patternFill>
          <fgColor indexed="64"/>
          <bgColor rgb="FFFFFFFF"/>
        </patternFill>
      </fill>
    </dxf>
    <dxf>
      <fill>
        <patternFill patternType="solid">
          <bgColor theme="2"/>
        </patternFill>
      </fill>
    </dxf>
    <dxf>
      <font>
        <b val="0"/>
        <i val="0"/>
        <strike val="0"/>
        <color rgb="FF002855"/>
      </font>
      <fill>
        <patternFill>
          <bgColor rgb="FFD0CE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ill>
        <patternFill>
          <bgColor theme="0" tint="-0.14996795556505021"/>
        </patternFill>
      </fill>
      <border>
        <left/>
        <right/>
        <top/>
        <bottom/>
      </border>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ill>
        <patternFill>
          <bgColor theme="0" tint="-0.14996795556505021"/>
        </patternFill>
      </fill>
      <border>
        <left/>
        <right/>
        <top/>
        <bottom/>
      </border>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dxf>
    <dxf>
      <font>
        <b val="0"/>
        <i val="0"/>
        <strike val="0"/>
        <color rgb="FF002855"/>
      </font>
      <fill>
        <patternFill>
          <bgColor rgb="FFD0CECE"/>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auto="1"/>
      </font>
      <fill>
        <patternFill>
          <bgColor theme="0" tint="-0.14996795556505021"/>
        </patternFill>
      </fill>
    </dxf>
    <dxf>
      <font>
        <b val="0"/>
        <i val="0"/>
        <strike val="0"/>
        <color rgb="FF002855"/>
      </font>
      <fill>
        <patternFill>
          <bgColor rgb="FFD0CECE"/>
        </patternFill>
      </fill>
    </dxf>
    <dxf>
      <font>
        <b val="0"/>
        <i val="0"/>
        <strike val="0"/>
        <color rgb="FF002855"/>
      </font>
      <fill>
        <patternFill>
          <bgColor rgb="FFD0CECE"/>
        </patternFill>
      </fill>
    </dxf>
    <dxf>
      <font>
        <b val="0"/>
        <i val="0"/>
        <strike val="0"/>
        <color rgb="FF002855"/>
      </font>
      <fill>
        <patternFill>
          <bgColor rgb="FFD0CECE"/>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auto="1"/>
      </font>
      <fill>
        <patternFill>
          <bgColor theme="0" tint="-0.14996795556505021"/>
        </patternFill>
      </fill>
    </dxf>
    <dxf>
      <font>
        <b val="0"/>
        <i val="0"/>
        <strike val="0"/>
        <color rgb="FF002855"/>
      </font>
      <fill>
        <patternFill>
          <bgColor rgb="FFD0CECE"/>
        </patternFill>
      </fill>
    </dxf>
    <dxf>
      <font>
        <color theme="0"/>
      </font>
      <fill>
        <patternFill patternType="none">
          <bgColor auto="1"/>
        </patternFill>
      </fill>
      <border>
        <left/>
        <right/>
        <top/>
        <bottom/>
        <vertical/>
        <horizontal/>
      </border>
    </dxf>
    <dxf>
      <font>
        <color theme="0"/>
      </font>
    </dxf>
    <dxf>
      <font>
        <color theme="3" tint="0.89996032593768116"/>
      </font>
    </dxf>
    <dxf>
      <font>
        <color theme="0"/>
      </font>
    </dxf>
    <dxf>
      <font>
        <color theme="0"/>
      </font>
    </dxf>
    <dxf>
      <font>
        <color theme="0"/>
      </font>
    </dxf>
    <dxf>
      <fill>
        <patternFill patternType="solid">
          <bgColor theme="0"/>
        </patternFill>
      </fill>
    </dxf>
    <dxf>
      <fill>
        <patternFill>
          <bgColor theme="2"/>
        </patternFill>
      </fill>
    </dxf>
    <dxf>
      <font>
        <color theme="0"/>
      </font>
      <fill>
        <patternFill>
          <bgColor theme="0"/>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fill>
        <patternFill patternType="none">
          <bgColor auto="1"/>
        </patternFill>
      </fill>
    </dxf>
    <dxf>
      <border>
        <bottom style="thin">
          <color auto="1"/>
        </bottom>
        <vertical/>
        <horizontal/>
      </border>
    </dxf>
    <dxf>
      <fill>
        <patternFill>
          <bgColor rgb="FFFFDFC0"/>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auto="1"/>
        </left>
        <vertical/>
        <horizontal/>
      </border>
    </dxf>
    <dxf>
      <border>
        <right style="thin">
          <color auto="1"/>
        </right>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rgb="FFD5E7FD"/>
      </font>
    </dxf>
    <dxf>
      <font>
        <color rgb="FF031E3F"/>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dxf>
    <dxf>
      <fill>
        <patternFill>
          <bgColor theme="0"/>
        </patternFill>
      </fill>
    </dxf>
    <dxf>
      <fill>
        <patternFill>
          <bgColor theme="0"/>
        </patternFill>
      </fill>
    </dxf>
    <dxf>
      <fill>
        <patternFill>
          <bgColor theme="2"/>
        </patternFill>
      </fill>
    </dxf>
    <dxf>
      <font>
        <color theme="0"/>
      </font>
      <fill>
        <patternFill>
          <bgColor theme="3"/>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ill>
        <patternFill>
          <bgColor rgb="FFF2F2F2"/>
        </patternFill>
      </fill>
    </dxf>
    <dxf>
      <font>
        <color rgb="FF002855"/>
      </font>
      <fill>
        <patternFill>
          <bgColor rgb="FFD0CECE"/>
        </patternFill>
      </fill>
      <border>
        <left style="thin">
          <color rgb="FF031E3F"/>
        </left>
        <right style="thin">
          <color rgb="FF031E3F"/>
        </right>
        <top style="thin">
          <color rgb="FF031E3F"/>
        </top>
        <bottom style="thin">
          <color rgb="FF031E3F"/>
        </bottom>
      </border>
    </dxf>
    <dxf>
      <fill>
        <patternFill>
          <bgColor theme="2"/>
        </patternFill>
      </fill>
    </dxf>
    <dxf>
      <font>
        <color theme="0"/>
      </font>
      <fill>
        <patternFill patternType="none">
          <bgColor auto="1"/>
        </patternFill>
      </fill>
      <border>
        <left/>
        <right/>
        <top style="thin">
          <color auto="1"/>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font>
      <fill>
        <patternFill>
          <bgColor theme="0" tint="-0.14996795556505021"/>
        </patternFill>
      </fill>
      <border>
        <bottom style="thin">
          <color auto="1"/>
        </bottom>
      </border>
    </dxf>
    <dxf>
      <font>
        <color theme="0"/>
      </font>
      <fill>
        <patternFill patternType="none">
          <bgColor auto="1"/>
        </patternFill>
      </fill>
      <border>
        <left/>
        <right/>
        <top/>
        <bottom/>
        <vertical/>
        <horizontal/>
      </border>
    </dxf>
    <dxf>
      <font>
        <b/>
        <i val="0"/>
      </font>
      <fill>
        <patternFill>
          <bgColor theme="0" tint="-0.14996795556505021"/>
        </patternFill>
      </fill>
      <border>
        <bottom style="thin">
          <color auto="1"/>
        </bottom>
      </border>
    </dxf>
    <dxf>
      <font>
        <color theme="0"/>
      </font>
      <fill>
        <patternFill patternType="none">
          <bgColor auto="1"/>
        </patternFill>
      </fill>
      <border>
        <left/>
        <right/>
        <top/>
        <bottom/>
        <vertical/>
        <horizontal/>
      </border>
    </dxf>
    <dxf>
      <fill>
        <patternFill>
          <fgColor indexed="64"/>
          <bgColor theme="8" tint="0.89992980742820516"/>
        </patternFill>
      </fill>
    </dxf>
    <dxf>
      <fill>
        <patternFill>
          <fgColor indexed="64"/>
          <bgColor theme="8" tint="0.89992980742820516"/>
        </patternFill>
      </fill>
    </dxf>
    <dxf>
      <font>
        <color theme="0" tint="-4.9989318521683403E-2"/>
      </font>
      <fill>
        <patternFill>
          <bgColor theme="0" tint="-4.9989318521683403E-2"/>
        </patternFill>
      </fill>
    </dxf>
    <dxf>
      <font>
        <b val="0"/>
        <i val="0"/>
        <color rgb="FF002855"/>
      </font>
      <fill>
        <patternFill>
          <bgColor rgb="FFD0CECE"/>
        </patternFill>
      </fill>
    </dxf>
    <dxf>
      <font>
        <b val="0"/>
        <i val="0"/>
        <color rgb="FF002855"/>
      </font>
      <fill>
        <patternFill>
          <bgColor rgb="FFD0CECE"/>
        </patternFill>
      </fill>
    </dxf>
    <dxf>
      <font>
        <color theme="0"/>
      </font>
      <fill>
        <patternFill>
          <bgColor rgb="FF031E3F"/>
        </patternFill>
      </fill>
    </dxf>
    <dxf>
      <font>
        <b/>
        <i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dxf>
    <dxf>
      <font>
        <b val="0"/>
        <i val="0"/>
        <color rgb="FF002855"/>
      </font>
      <fill>
        <patternFill>
          <bgColor rgb="FFD0CECE"/>
        </patternFill>
      </fill>
    </dxf>
    <dxf>
      <font>
        <b val="0"/>
        <i val="0"/>
        <color rgb="FF002855"/>
      </font>
      <fill>
        <patternFill>
          <bgColor rgb="FFD0CECE"/>
        </patternFill>
      </fill>
    </dxf>
    <dxf>
      <font>
        <color theme="0"/>
      </font>
      <fill>
        <patternFill>
          <bgColor rgb="FF031E3F"/>
        </patternFill>
      </fill>
    </dxf>
    <dxf>
      <font>
        <b/>
        <i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dxf>
  </dxfs>
  <tableStyles count="0" defaultTableStyle="TableStyleMedium2" defaultPivotStyle="PivotStyleLight16"/>
  <colors>
    <mruColors>
      <color rgb="FF404040"/>
      <color rgb="FFA5A5A5"/>
      <color rgb="FF002855"/>
      <color rgb="FFFF7F32"/>
      <color rgb="FFBDD7EE"/>
      <color rgb="FFD8E2EC"/>
      <color rgb="FFE7E6E6"/>
      <color rgb="FFFFFFFF"/>
      <color rgb="FFD0CECE"/>
      <color rgb="FFFFDF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17/06/relationships/rdRichValueTypes" Target="richData/rdRichValueTyp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06/relationships/rdRichValue" Target="richData/rdrichvalue.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3.xml"/><Relationship Id="rId20" Type="http://schemas.openxmlformats.org/officeDocument/2006/relationships/worksheet" Target="worksheets/sheet20.xml"/><Relationship Id="rId41"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rgbClr val="002855"/>
                </a:solidFill>
                <a:latin typeface="Frank Ruhl Libre" pitchFamily="2" charset="-79"/>
                <a:ea typeface="+mn-ea"/>
                <a:cs typeface="Frank Ruhl Libre" pitchFamily="2" charset="-79"/>
              </a:defRPr>
            </a:pPr>
            <a:r>
              <a:rPr lang="en-US" sz="1200" b="0">
                <a:solidFill>
                  <a:srgbClr val="002855"/>
                </a:solidFill>
                <a:latin typeface="Frank Ruhl Libre" pitchFamily="2" charset="-79"/>
                <a:cs typeface="Frank Ruhl Libre" pitchFamily="2" charset="-79"/>
              </a:rPr>
              <a:t>Unit Rent</a:t>
            </a:r>
          </a:p>
        </c:rich>
      </c:tx>
      <c:layout>
        <c:manualLayout>
          <c:xMode val="edge"/>
          <c:yMode val="edge"/>
          <c:x val="0.448780495947599"/>
          <c:y val="2.271725595299809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2855"/>
              </a:solidFill>
              <a:latin typeface="Frank Ruhl Libre" pitchFamily="2" charset="-79"/>
              <a:ea typeface="+mn-ea"/>
              <a:cs typeface="Frank Ruhl Libre" pitchFamily="2" charset="-79"/>
            </a:defRPr>
          </a:pPr>
          <a:endParaRPr lang="en-US"/>
        </a:p>
      </c:txPr>
    </c:title>
    <c:autoTitleDeleted val="0"/>
    <c:plotArea>
      <c:layout/>
      <c:barChart>
        <c:barDir val="col"/>
        <c:grouping val="clustered"/>
        <c:varyColors val="0"/>
        <c:ser>
          <c:idx val="2"/>
          <c:order val="0"/>
          <c:tx>
            <c:v>Rent</c:v>
          </c:tx>
          <c:spPr>
            <a:solidFill>
              <a:schemeClr val="tx2"/>
            </a:solidFill>
            <a:ln>
              <a:noFill/>
            </a:ln>
            <a:effectLst/>
          </c:spPr>
          <c:invertIfNegative val="0"/>
          <c:cat>
            <c:strRef>
              <c:f>[0]!ChartList</c:f>
              <c:strCache>
                <c:ptCount val="3"/>
                <c:pt idx="0">
                  <c:v>1 Bed / 1 Bath</c:v>
                </c:pt>
                <c:pt idx="1">
                  <c:v>2 Bed / 1 Bath</c:v>
                </c:pt>
                <c:pt idx="2">
                  <c:v>4 Bed / 3 Bath House</c:v>
                </c:pt>
              </c:strCache>
            </c:strRef>
          </c:cat>
          <c:val>
            <c:numRef>
              <c:f>[0]!ChartRentMonth</c:f>
              <c:numCache>
                <c:formatCode>"$"#,##0</c:formatCode>
                <c:ptCount val="3"/>
                <c:pt idx="0">
                  <c:v>2295</c:v>
                </c:pt>
                <c:pt idx="1">
                  <c:v>2650</c:v>
                </c:pt>
                <c:pt idx="2">
                  <c:v>5000</c:v>
                </c:pt>
              </c:numCache>
            </c:numRef>
          </c:val>
          <c:extLst>
            <c:ext xmlns:c16="http://schemas.microsoft.com/office/drawing/2014/chart" uri="{C3380CC4-5D6E-409C-BE32-E72D297353CC}">
              <c16:uniqueId val="{00000000-248F-4B05-9ABE-D7935711AFD9}"/>
            </c:ext>
          </c:extLst>
        </c:ser>
        <c:dLbls>
          <c:showLegendKey val="0"/>
          <c:showVal val="0"/>
          <c:showCatName val="0"/>
          <c:showSerName val="0"/>
          <c:showPercent val="0"/>
          <c:showBubbleSize val="0"/>
        </c:dLbls>
        <c:gapWidth val="219"/>
        <c:axId val="2130569360"/>
        <c:axId val="2127710832"/>
      </c:barChart>
      <c:lineChart>
        <c:grouping val="stacked"/>
        <c:varyColors val="0"/>
        <c:ser>
          <c:idx val="3"/>
          <c:order val="1"/>
          <c:tx>
            <c:v>Rent SF</c:v>
          </c:tx>
          <c:spPr>
            <a:ln w="28575" cap="rnd">
              <a:solidFill>
                <a:schemeClr val="accent1"/>
              </a:solidFill>
              <a:round/>
            </a:ln>
            <a:effectLst/>
          </c:spPr>
          <c:marker>
            <c:symbol val="circle"/>
            <c:size val="7"/>
            <c:spPr>
              <a:solidFill>
                <a:schemeClr val="accent1"/>
              </a:solidFill>
              <a:ln w="9525">
                <a:solidFill>
                  <a:schemeClr val="accent1"/>
                </a:solidFill>
              </a:ln>
              <a:effectLst/>
            </c:spPr>
          </c:marker>
          <c:cat>
            <c:numRef>
              <c:f>'Rent Roll Summary Input'!$U$7:$U$10</c:f>
              <c:numCache>
                <c:formatCode>General</c:formatCode>
                <c:ptCount val="4"/>
              </c:numCache>
            </c:numRef>
          </c:cat>
          <c:val>
            <c:numRef>
              <c:f>[0]!ChartRentSF</c:f>
              <c:numCache>
                <c:formatCode>"$"#,##0.00</c:formatCode>
                <c:ptCount val="3"/>
                <c:pt idx="0">
                  <c:v>3.5307692307692307</c:v>
                </c:pt>
                <c:pt idx="1">
                  <c:v>3.5333333333333332</c:v>
                </c:pt>
                <c:pt idx="2">
                  <c:v>2</c:v>
                </c:pt>
              </c:numCache>
            </c:numRef>
          </c:val>
          <c:smooth val="0"/>
          <c:extLst>
            <c:ext xmlns:c16="http://schemas.microsoft.com/office/drawing/2014/chart" uri="{C3380CC4-5D6E-409C-BE32-E72D297353CC}">
              <c16:uniqueId val="{00000001-248F-4B05-9ABE-D7935711AFD9}"/>
            </c:ext>
          </c:extLst>
        </c:ser>
        <c:dLbls>
          <c:showLegendKey val="0"/>
          <c:showVal val="0"/>
          <c:showCatName val="0"/>
          <c:showSerName val="0"/>
          <c:showPercent val="0"/>
          <c:showBubbleSize val="0"/>
        </c:dLbls>
        <c:marker val="1"/>
        <c:smooth val="0"/>
        <c:axId val="2127620736"/>
        <c:axId val="2127614592"/>
      </c:lineChart>
      <c:catAx>
        <c:axId val="2130569360"/>
        <c:scaling>
          <c:orientation val="minMax"/>
        </c:scaling>
        <c:delete val="0"/>
        <c:axPos val="b"/>
        <c:title>
          <c:tx>
            <c:rich>
              <a:bodyPr rot="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r>
                  <a:rPr lang="en-US" baseline="0">
                    <a:solidFill>
                      <a:srgbClr val="404040"/>
                    </a:solidFill>
                    <a:latin typeface="Frank Ruhl Libre" pitchFamily="2" charset="-79"/>
                    <a:cs typeface="Frank Ruhl Libre" pitchFamily="2" charset="-79"/>
                  </a:rPr>
                  <a:t>Unit Type</a:t>
                </a:r>
              </a:p>
            </c:rich>
          </c:tx>
          <c:overlay val="0"/>
          <c:spPr>
            <a:noFill/>
            <a:ln>
              <a:noFill/>
            </a:ln>
            <a:effectLst/>
          </c:spPr>
          <c:txPr>
            <a:bodyPr rot="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crossAx val="2127710832"/>
        <c:crosses val="autoZero"/>
        <c:auto val="1"/>
        <c:lblAlgn val="ctr"/>
        <c:lblOffset val="100"/>
        <c:noMultiLvlLbl val="0"/>
      </c:catAx>
      <c:valAx>
        <c:axId val="2127710832"/>
        <c:scaling>
          <c:orientation val="minMax"/>
        </c:scaling>
        <c:delete val="0"/>
        <c:axPos val="l"/>
        <c:title>
          <c:tx>
            <c:rich>
              <a:bodyPr rot="-54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r>
                  <a:rPr lang="en-US" baseline="0">
                    <a:solidFill>
                      <a:srgbClr val="404040"/>
                    </a:solidFill>
                    <a:latin typeface="Frank Ruhl Libre" pitchFamily="2" charset="-79"/>
                    <a:cs typeface="Frank Ruhl Libre" pitchFamily="2" charset="-79"/>
                  </a:rPr>
                  <a:t>Rent per Month</a:t>
                </a:r>
              </a:p>
            </c:rich>
          </c:tx>
          <c:overlay val="0"/>
          <c:spPr>
            <a:noFill/>
            <a:ln>
              <a:noFill/>
            </a:ln>
            <a:effectLst/>
          </c:spPr>
          <c:txPr>
            <a:bodyPr rot="-54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crossAx val="2130569360"/>
        <c:crosses val="autoZero"/>
        <c:crossBetween val="between"/>
      </c:valAx>
      <c:valAx>
        <c:axId val="2127614592"/>
        <c:scaling>
          <c:orientation val="minMax"/>
        </c:scaling>
        <c:delete val="0"/>
        <c:axPos val="r"/>
        <c:title>
          <c:tx>
            <c:rich>
              <a:bodyPr rot="5400000" spcFirstLastPara="1" vertOverflow="ellipsis"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r>
                  <a:rPr lang="en-US" baseline="0">
                    <a:solidFill>
                      <a:srgbClr val="404040"/>
                    </a:solidFill>
                    <a:latin typeface="Frank Ruhl Libre" pitchFamily="2" charset="-79"/>
                    <a:cs typeface="Frank Ruhl Libre" pitchFamily="2" charset="-79"/>
                  </a:rPr>
                  <a:t>Rent per SF/Month</a:t>
                </a:r>
              </a:p>
            </c:rich>
          </c:tx>
          <c:overlay val="0"/>
          <c:spPr>
            <a:noFill/>
            <a:ln>
              <a:noFill/>
            </a:ln>
            <a:effectLst/>
          </c:spPr>
          <c:txPr>
            <a:bodyPr rot="5400000" spcFirstLastPara="1" vertOverflow="ellipsis"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title>
        <c:numFmt formatCode="&quot;$&quot;#,##0.00&quot; SF&quot;"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crossAx val="2127620736"/>
        <c:crosses val="max"/>
        <c:crossBetween val="between"/>
      </c:valAx>
      <c:catAx>
        <c:axId val="2127620736"/>
        <c:scaling>
          <c:orientation val="minMax"/>
        </c:scaling>
        <c:delete val="1"/>
        <c:axPos val="b"/>
        <c:numFmt formatCode="General" sourceLinked="1"/>
        <c:majorTickMark val="out"/>
        <c:minorTickMark val="none"/>
        <c:tickLblPos val="nextTo"/>
        <c:crossAx val="2127614592"/>
        <c:crosses val="autoZero"/>
        <c:auto val="1"/>
        <c:lblAlgn val="ctr"/>
        <c:lblOffset val="100"/>
        <c:noMultiLvlLbl val="0"/>
      </c:catAx>
      <c:spPr>
        <a:noFill/>
        <a:ln>
          <a:noFill/>
        </a:ln>
        <a:effectLst/>
      </c:spPr>
    </c:plotArea>
    <c:legend>
      <c:legendPos val="b"/>
      <c:layout>
        <c:manualLayout>
          <c:xMode val="edge"/>
          <c:yMode val="edge"/>
          <c:x val="0.35477246897535902"/>
          <c:y val="0.87419362875044904"/>
          <c:w val="0.29045485819126998"/>
          <c:h val="6.7875713299735199E-2"/>
        </c:manualLayout>
      </c:layout>
      <c:overlay val="0"/>
      <c:spPr>
        <a:noFill/>
        <a:ln>
          <a:noFill/>
        </a:ln>
        <a:effectLst/>
      </c:spPr>
      <c:txPr>
        <a:bodyPr rot="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legend>
    <c:plotVisOnly val="1"/>
    <c:dispBlanksAs val="gap"/>
    <c:showDLblsOverMax val="0"/>
  </c:chart>
  <c:spPr>
    <a:noFill/>
    <a:ln w="9525" cap="flat" cmpd="sng" algn="ctr">
      <a:no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chemeClr val="tx2"/>
                </a:solidFill>
                <a:latin typeface="Frank Ruhl Libre" pitchFamily="2" charset="-79"/>
                <a:cs typeface="Frank Ruhl Libre" pitchFamily="2" charset="-79"/>
              </a:defRPr>
            </a:pPr>
            <a:r>
              <a:rPr lang="en-US" sz="1200" b="0" kern="1200" spc="0" baseline="0">
                <a:solidFill>
                  <a:schemeClr val="tx2"/>
                </a:solidFill>
                <a:latin typeface="Frank Ruhl Libre" pitchFamily="2" charset="-79"/>
                <a:cs typeface="Frank Ruhl Libre" pitchFamily="2" charset="-79"/>
              </a:rPr>
              <a:t>Unit Distribution</a:t>
            </a:r>
          </a:p>
        </c:rich>
      </c:tx>
      <c:layout>
        <c:manualLayout>
          <c:xMode val="edge"/>
          <c:yMode val="edge"/>
          <c:x val="0.396065017143994"/>
          <c:y val="3.9330887318196103E-2"/>
        </c:manualLayout>
      </c:layout>
      <c:overlay val="0"/>
      <c:spPr>
        <a:ln>
          <a:noFill/>
        </a:ln>
      </c:spPr>
    </c:title>
    <c:autoTitleDeleted val="0"/>
    <c:view3D>
      <c:rotX val="30"/>
      <c:hPercent val="70"/>
      <c:rotY val="120"/>
      <c:depthPercent val="50"/>
      <c:rAngAx val="1"/>
    </c:view3D>
    <c:floor>
      <c:thickness val="0"/>
    </c:floor>
    <c:sideWall>
      <c:thickness val="0"/>
    </c:sideWall>
    <c:backWall>
      <c:thickness val="0"/>
    </c:backWall>
    <c:plotArea>
      <c:layout>
        <c:manualLayout>
          <c:layoutTarget val="inner"/>
          <c:xMode val="edge"/>
          <c:yMode val="edge"/>
          <c:x val="0.17539505271554101"/>
          <c:y val="0.31287586799397799"/>
          <c:w val="0.64456167592737401"/>
          <c:h val="0.53236208649594496"/>
        </c:manualLayout>
      </c:layout>
      <c:pie3DChart>
        <c:varyColors val="1"/>
        <c:ser>
          <c:idx val="0"/>
          <c:order val="0"/>
          <c:dPt>
            <c:idx val="0"/>
            <c:bubble3D val="0"/>
            <c:spPr>
              <a:ln>
                <a:solidFill>
                  <a:schemeClr val="accent1"/>
                </a:solidFill>
              </a:ln>
            </c:spPr>
            <c:extLst>
              <c:ext xmlns:c16="http://schemas.microsoft.com/office/drawing/2014/chart" uri="{C3380CC4-5D6E-409C-BE32-E72D297353CC}">
                <c16:uniqueId val="{00000001-D6A3-4BAD-A60F-493C118A80DD}"/>
              </c:ext>
            </c:extLst>
          </c:dPt>
          <c:dPt>
            <c:idx val="1"/>
            <c:bubble3D val="0"/>
            <c:spPr>
              <a:solidFill>
                <a:schemeClr val="tx2"/>
              </a:solidFill>
            </c:spPr>
            <c:extLst>
              <c:ext xmlns:c16="http://schemas.microsoft.com/office/drawing/2014/chart" uri="{C3380CC4-5D6E-409C-BE32-E72D297353CC}">
                <c16:uniqueId val="{00000003-D6A3-4BAD-A60F-493C118A80DD}"/>
              </c:ext>
            </c:extLst>
          </c:dPt>
          <c:dPt>
            <c:idx val="2"/>
            <c:bubble3D val="0"/>
            <c:spPr>
              <a:solidFill>
                <a:schemeClr val="bg1">
                  <a:lumMod val="75000"/>
                </a:schemeClr>
              </a:solidFill>
            </c:spPr>
            <c:extLst>
              <c:ext xmlns:c16="http://schemas.microsoft.com/office/drawing/2014/chart" uri="{C3380CC4-5D6E-409C-BE32-E72D297353CC}">
                <c16:uniqueId val="{00000005-D6A3-4BAD-A60F-493C118A80DD}"/>
              </c:ext>
            </c:extLst>
          </c:dPt>
          <c:dPt>
            <c:idx val="3"/>
            <c:bubble3D val="0"/>
            <c:extLst>
              <c:ext xmlns:c16="http://schemas.microsoft.com/office/drawing/2014/chart" uri="{C3380CC4-5D6E-409C-BE32-E72D297353CC}">
                <c16:uniqueId val="{00000006-D6A3-4BAD-A60F-493C118A80DD}"/>
              </c:ext>
            </c:extLst>
          </c:dPt>
          <c:dLbls>
            <c:spPr>
              <a:noFill/>
              <a:ln>
                <a:noFill/>
              </a:ln>
              <a:effectLst/>
            </c:spPr>
            <c:txPr>
              <a:bodyPr/>
              <a:lstStyle/>
              <a:p>
                <a:pPr>
                  <a:defRPr sz="750" b="0">
                    <a:latin typeface="Frank Ruhl Libre" pitchFamily="2" charset="-79"/>
                    <a:cs typeface="Frank Ruhl Libre" pitchFamily="2" charset="-79"/>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[0]!ChartList</c:f>
              <c:strCache>
                <c:ptCount val="3"/>
                <c:pt idx="0">
                  <c:v>1 Bed / 1 Bath</c:v>
                </c:pt>
                <c:pt idx="1">
                  <c:v>2 Bed / 1 Bath</c:v>
                </c:pt>
                <c:pt idx="2">
                  <c:v>4 Bed / 3 Bath House</c:v>
                </c:pt>
              </c:strCache>
            </c:strRef>
          </c:cat>
          <c:val>
            <c:numRef>
              <c:f>[0]!ChartUnits</c:f>
              <c:numCache>
                <c:formatCode>General</c:formatCode>
                <c:ptCount val="3"/>
                <c:pt idx="0">
                  <c:v>2</c:v>
                </c:pt>
                <c:pt idx="1">
                  <c:v>24</c:v>
                </c:pt>
                <c:pt idx="2">
                  <c:v>1</c:v>
                </c:pt>
              </c:numCache>
            </c:numRef>
          </c:val>
          <c:extLst>
            <c:ext xmlns:c16="http://schemas.microsoft.com/office/drawing/2014/chart" uri="{C3380CC4-5D6E-409C-BE32-E72D297353CC}">
              <c16:uniqueId val="{00000007-D6A3-4BAD-A60F-493C118A80DD}"/>
            </c:ext>
          </c:extLst>
        </c:ser>
        <c:dLbls>
          <c:showLegendKey val="0"/>
          <c:showVal val="0"/>
          <c:showCatName val="1"/>
          <c:showSerName val="0"/>
          <c:showPercent val="1"/>
          <c:showBubbleSize val="0"/>
          <c:showLeaderLines val="0"/>
        </c:dLbls>
      </c:pie3DChart>
    </c:plotArea>
    <c:plotVisOnly val="1"/>
    <c:dispBlanksAs val="zero"/>
    <c:showDLblsOverMax val="0"/>
  </c:chart>
  <c:spPr>
    <a:noFill/>
    <a:ln>
      <a:noFill/>
    </a:ln>
  </c:spPr>
  <c:printSettings>
    <c:headerFooter alignWithMargins="0"/>
    <c:pageMargins b="0.75000000000000799" l="0.70000000000000295" r="0.70000000000000295" t="0.75000000000000799"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ctr">
              <a:defRPr>
                <a:solidFill>
                  <a:srgbClr val="003268"/>
                </a:solidFill>
                <a:latin typeface="Frank Ruhl Libre" pitchFamily="2" charset="-79"/>
                <a:cs typeface="Frank Ruhl Libre" pitchFamily="2" charset="-79"/>
              </a:defRPr>
            </a:pPr>
            <a:r>
              <a:rPr lang="en-US" sz="1000">
                <a:solidFill>
                  <a:schemeClr val="tx2"/>
                </a:solidFill>
                <a:latin typeface="Frank Ruhl Libre" pitchFamily="2" charset="-79"/>
                <a:cs typeface="Frank Ruhl Libre" pitchFamily="2" charset="-79"/>
              </a:rPr>
              <a:t>Return on Equity Scenarios</a:t>
            </a:r>
          </a:p>
        </c:rich>
      </c:tx>
      <c:layout>
        <c:manualLayout>
          <c:xMode val="edge"/>
          <c:yMode val="edge"/>
          <c:x val="0.32260181313167635"/>
          <c:y val="1.9306191644948255E-2"/>
        </c:manualLayout>
      </c:layout>
      <c:overlay val="0"/>
      <c:spPr>
        <a:noFill/>
        <a:ln>
          <a:noFill/>
        </a:ln>
        <a:effectLst/>
      </c:spPr>
    </c:title>
    <c:autoTitleDeleted val="0"/>
    <c:plotArea>
      <c:layout>
        <c:manualLayout>
          <c:layoutTarget val="inner"/>
          <c:xMode val="edge"/>
          <c:yMode val="edge"/>
          <c:x val="0.24609647008409699"/>
          <c:y val="0.165384970736417"/>
          <c:w val="0.70327044857267396"/>
          <c:h val="0.69632507615380201"/>
        </c:manualLayout>
      </c:layout>
      <c:barChart>
        <c:barDir val="col"/>
        <c:grouping val="clustered"/>
        <c:varyColors val="0"/>
        <c:ser>
          <c:idx val="0"/>
          <c:order val="0"/>
          <c:spPr>
            <a:solidFill>
              <a:schemeClr val="tx2"/>
            </a:solidFill>
            <a:ln>
              <a:noFill/>
            </a:ln>
            <a:effectLst/>
          </c:spPr>
          <c:invertIfNegative val="0"/>
          <c:dLbls>
            <c:dLbl>
              <c:idx val="0"/>
              <c:layout>
                <c:manualLayout>
                  <c:x val="0"/>
                  <c:y val="-3.90166078142862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0DE-47D2-8A41-830E94AD74FB}"/>
                </c:ext>
              </c:extLst>
            </c:dLbl>
            <c:dLbl>
              <c:idx val="1"/>
              <c:layout>
                <c:manualLayout>
                  <c:x val="0"/>
                  <c:y val="5.444075152962839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0DE-47D2-8A41-830E94AD74FB}"/>
                </c:ext>
              </c:extLst>
            </c:dLbl>
            <c:dLbl>
              <c:idx val="2"/>
              <c:layout>
                <c:manualLayout>
                  <c:x val="0"/>
                  <c:y val="5.444075152962879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0DE-47D2-8A41-830E94AD74FB}"/>
                </c:ext>
              </c:extLst>
            </c:dLbl>
            <c:spPr>
              <a:noFill/>
              <a:ln>
                <a:noFill/>
              </a:ln>
              <a:effectLst/>
            </c:spPr>
            <c:txPr>
              <a:bodyPr rot="0" vert="horz"/>
              <a:lstStyle/>
              <a:p>
                <a:pPr>
                  <a:defRPr sz="900">
                    <a:solidFill>
                      <a:srgbClr val="404040"/>
                    </a:solidFill>
                    <a:latin typeface="Frank Ruhl Libre" pitchFamily="2" charset="-79"/>
                    <a:cs typeface="Frank Ruhl Libre" pitchFamily="2" charset="-79"/>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'Equity Returns Chart'!$O$10:$Q$10</c:f>
              <c:strCache>
                <c:ptCount val="3"/>
                <c:pt idx="0">
                  <c:v>Sell &amp; Exchange</c:v>
                </c:pt>
                <c:pt idx="1">
                  <c:v>Hold</c:v>
                </c:pt>
                <c:pt idx="2">
                  <c:v>Refinance</c:v>
                </c:pt>
              </c:strCache>
            </c:strRef>
          </c:cat>
          <c:val>
            <c:numRef>
              <c:f>'Equity Returns Chart'!$O$11:$Q$11</c:f>
              <c:numCache>
                <c:formatCode>0.00%</c:formatCode>
                <c:ptCount val="3"/>
                <c:pt idx="0">
                  <c:v>0</c:v>
                </c:pt>
                <c:pt idx="1">
                  <c:v>4.7683000641711229E-2</c:v>
                </c:pt>
                <c:pt idx="2">
                  <c:v>4.7683000641711229E-2</c:v>
                </c:pt>
              </c:numCache>
            </c:numRef>
          </c:val>
          <c:extLst>
            <c:ext xmlns:c16="http://schemas.microsoft.com/office/drawing/2014/chart" uri="{C3380CC4-5D6E-409C-BE32-E72D297353CC}">
              <c16:uniqueId val="{00000003-40DE-47D2-8A41-830E94AD74FB}"/>
            </c:ext>
          </c:extLst>
        </c:ser>
        <c:dLbls>
          <c:showLegendKey val="0"/>
          <c:showVal val="0"/>
          <c:showCatName val="0"/>
          <c:showSerName val="0"/>
          <c:showPercent val="0"/>
          <c:showBubbleSize val="0"/>
        </c:dLbls>
        <c:gapWidth val="219"/>
        <c:overlap val="-27"/>
        <c:axId val="2137798608"/>
        <c:axId val="2137801968"/>
      </c:barChart>
      <c:catAx>
        <c:axId val="213779860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801968"/>
        <c:crosses val="autoZero"/>
        <c:auto val="1"/>
        <c:lblAlgn val="ctr"/>
        <c:lblOffset val="100"/>
        <c:noMultiLvlLbl val="0"/>
      </c:catAx>
      <c:valAx>
        <c:axId val="2137801968"/>
        <c:scaling>
          <c:orientation val="minMax"/>
        </c:scaling>
        <c:delete val="0"/>
        <c:axPos val="l"/>
        <c:majorGridlines>
          <c:spPr>
            <a:ln w="9525" cap="flat" cmpd="sng" algn="ctr">
              <a:noFill/>
              <a:round/>
            </a:ln>
            <a:effectLst/>
          </c:spPr>
        </c:majorGridlines>
        <c:title>
          <c:tx>
            <c:rich>
              <a:bodyPr rot="-5400000" vert="horz"/>
              <a:lstStyle/>
              <a:p>
                <a:pPr>
                  <a:defRPr sz="900">
                    <a:solidFill>
                      <a:srgbClr val="404040"/>
                    </a:solidFill>
                    <a:latin typeface="Frank Ruhl Libre" pitchFamily="2" charset="-79"/>
                    <a:cs typeface="Frank Ruhl Libre" pitchFamily="2" charset="-79"/>
                  </a:defRPr>
                </a:pPr>
                <a:r>
                  <a:rPr lang="en-US" sz="900">
                    <a:solidFill>
                      <a:srgbClr val="404040"/>
                    </a:solidFill>
                    <a:latin typeface="Frank Ruhl Libre" pitchFamily="2" charset="-79"/>
                    <a:cs typeface="Frank Ruhl Libre" pitchFamily="2" charset="-79"/>
                  </a:rPr>
                  <a:t>Return on Equity</a:t>
                </a:r>
              </a:p>
            </c:rich>
          </c:tx>
          <c:layout>
            <c:manualLayout>
              <c:xMode val="edge"/>
              <c:yMode val="edge"/>
              <c:x val="9.3642808537821698E-2"/>
              <c:y val="0.34385087639907103"/>
            </c:manualLayout>
          </c:layout>
          <c:overlay val="0"/>
          <c:spPr>
            <a:noFill/>
            <a:ln>
              <a:noFill/>
            </a:ln>
            <a:effectLst/>
          </c:spPr>
        </c:title>
        <c:numFmt formatCode="0.00%" sourceLinked="1"/>
        <c:majorTickMark val="none"/>
        <c:minorTickMark val="none"/>
        <c:tickLblPos val="nextTo"/>
        <c:spPr>
          <a:noFill/>
          <a:ln>
            <a:noFill/>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7986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700" b="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solidFill>
                  <a:srgbClr val="003268"/>
                </a:solidFill>
                <a:latin typeface="Frank Ruhl Libre" pitchFamily="2" charset="-79"/>
                <a:cs typeface="Frank Ruhl Libre" pitchFamily="2" charset="-79"/>
              </a:defRPr>
            </a:pPr>
            <a:r>
              <a:rPr lang="en-US" sz="1000">
                <a:solidFill>
                  <a:schemeClr val="tx2"/>
                </a:solidFill>
                <a:latin typeface="Frank Ruhl Libre" pitchFamily="2" charset="-79"/>
                <a:cs typeface="Frank Ruhl Libre" pitchFamily="2" charset="-79"/>
              </a:rPr>
              <a:t>Cash Flow Scenarios</a:t>
            </a:r>
          </a:p>
        </c:rich>
      </c:tx>
      <c:layout>
        <c:manualLayout>
          <c:xMode val="edge"/>
          <c:yMode val="edge"/>
          <c:x val="0.34689276682144099"/>
          <c:y val="4.0812730576510097E-3"/>
        </c:manualLayout>
      </c:layout>
      <c:overlay val="0"/>
      <c:spPr>
        <a:noFill/>
        <a:ln>
          <a:noFill/>
        </a:ln>
        <a:effectLst/>
      </c:spPr>
    </c:title>
    <c:autoTitleDeleted val="0"/>
    <c:plotArea>
      <c:layout>
        <c:manualLayout>
          <c:layoutTarget val="inner"/>
          <c:xMode val="edge"/>
          <c:yMode val="edge"/>
          <c:x val="0.24125257815623699"/>
          <c:y val="0.177961602820149"/>
          <c:w val="0.71105177887831905"/>
          <c:h val="0.67242649564011303"/>
        </c:manualLayout>
      </c:layout>
      <c:barChart>
        <c:barDir val="col"/>
        <c:grouping val="clustered"/>
        <c:varyColors val="0"/>
        <c:ser>
          <c:idx val="0"/>
          <c:order val="0"/>
          <c:spPr>
            <a:solidFill>
              <a:schemeClr val="tx2"/>
            </a:solidFill>
            <a:ln>
              <a:noFill/>
            </a:ln>
            <a:effectLst/>
          </c:spPr>
          <c:invertIfNegative val="0"/>
          <c:dLbls>
            <c:dLbl>
              <c:idx val="0"/>
              <c:layout>
                <c:manualLayout>
                  <c:x val="0"/>
                  <c:y val="-3.76787153988475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790-42FA-9232-E80C04873327}"/>
                </c:ext>
              </c:extLst>
            </c:dLbl>
            <c:dLbl>
              <c:idx val="1"/>
              <c:layout>
                <c:manualLayout>
                  <c:x val="0"/>
                  <c:y val="-3.7678715398847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790-42FA-9232-E80C04873327}"/>
                </c:ext>
              </c:extLst>
            </c:dLbl>
            <c:dLbl>
              <c:idx val="2"/>
              <c:layout>
                <c:manualLayout>
                  <c:x val="0"/>
                  <c:y val="-3.7678715398847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790-42FA-9232-E80C04873327}"/>
                </c:ext>
              </c:extLst>
            </c:dLbl>
            <c:spPr>
              <a:noFill/>
              <a:ln>
                <a:noFill/>
              </a:ln>
              <a:effectLst/>
            </c:spPr>
            <c:txPr>
              <a:bodyPr rot="0" vert="horz"/>
              <a:lstStyle/>
              <a:p>
                <a:pPr>
                  <a:defRPr sz="900">
                    <a:solidFill>
                      <a:srgbClr val="404040"/>
                    </a:solidFill>
                    <a:latin typeface="Frank Ruhl Libre" pitchFamily="2" charset="-79"/>
                    <a:cs typeface="Frank Ruhl Libre" pitchFamily="2" charset="-79"/>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'Equity Returns Chart'!$O$7:$Q$7</c:f>
              <c:strCache>
                <c:ptCount val="3"/>
                <c:pt idx="0">
                  <c:v>Sell &amp; Exchange</c:v>
                </c:pt>
                <c:pt idx="1">
                  <c:v>Hold</c:v>
                </c:pt>
                <c:pt idx="2">
                  <c:v>Refinance</c:v>
                </c:pt>
              </c:strCache>
            </c:strRef>
          </c:cat>
          <c:val>
            <c:numRef>
              <c:f>'Equity Returns Chart'!$O$8:$Q$8</c:f>
              <c:numCache>
                <c:formatCode>"$"#,##0</c:formatCode>
                <c:ptCount val="3"/>
                <c:pt idx="0">
                  <c:v>0</c:v>
                </c:pt>
                <c:pt idx="1">
                  <c:v>445836.05599999998</c:v>
                </c:pt>
                <c:pt idx="2">
                  <c:v>445836.05599999998</c:v>
                </c:pt>
              </c:numCache>
            </c:numRef>
          </c:val>
          <c:extLst>
            <c:ext xmlns:c16="http://schemas.microsoft.com/office/drawing/2014/chart" uri="{C3380CC4-5D6E-409C-BE32-E72D297353CC}">
              <c16:uniqueId val="{00000003-D790-42FA-9232-E80C04873327}"/>
            </c:ext>
          </c:extLst>
        </c:ser>
        <c:dLbls>
          <c:showLegendKey val="0"/>
          <c:showVal val="0"/>
          <c:showCatName val="0"/>
          <c:showSerName val="0"/>
          <c:showPercent val="0"/>
          <c:showBubbleSize val="0"/>
        </c:dLbls>
        <c:gapWidth val="219"/>
        <c:overlap val="-27"/>
        <c:axId val="2137849264"/>
        <c:axId val="2137852656"/>
      </c:barChart>
      <c:catAx>
        <c:axId val="213784926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852656"/>
        <c:crosses val="autoZero"/>
        <c:auto val="1"/>
        <c:lblAlgn val="ctr"/>
        <c:lblOffset val="100"/>
        <c:noMultiLvlLbl val="0"/>
      </c:catAx>
      <c:valAx>
        <c:axId val="2137852656"/>
        <c:scaling>
          <c:orientation val="minMax"/>
        </c:scaling>
        <c:delete val="0"/>
        <c:axPos val="l"/>
        <c:majorGridlines>
          <c:spPr>
            <a:ln w="9525" cap="flat" cmpd="sng" algn="ctr">
              <a:noFill/>
              <a:round/>
            </a:ln>
            <a:effectLst/>
          </c:spPr>
        </c:majorGridlines>
        <c:title>
          <c:tx>
            <c:rich>
              <a:bodyPr rot="-5400000" vert="horz"/>
              <a:lstStyle/>
              <a:p>
                <a:pPr>
                  <a:defRPr sz="900">
                    <a:solidFill>
                      <a:srgbClr val="404040"/>
                    </a:solidFill>
                    <a:latin typeface="Frank Ruhl Libre" pitchFamily="2" charset="-79"/>
                    <a:cs typeface="Frank Ruhl Libre" pitchFamily="2" charset="-79"/>
                  </a:defRPr>
                </a:pPr>
                <a:r>
                  <a:rPr lang="en-US" sz="900">
                    <a:solidFill>
                      <a:srgbClr val="404040"/>
                    </a:solidFill>
                    <a:latin typeface="Frank Ruhl Libre" pitchFamily="2" charset="-79"/>
                    <a:cs typeface="Frank Ruhl Libre" pitchFamily="2" charset="-79"/>
                  </a:rPr>
                  <a:t>Cash Flow After Debt Service</a:t>
                </a:r>
              </a:p>
            </c:rich>
          </c:tx>
          <c:layout>
            <c:manualLayout>
              <c:xMode val="edge"/>
              <c:yMode val="edge"/>
              <c:x val="7.1000750297591605E-2"/>
              <c:y val="0.15438132760321799"/>
            </c:manualLayout>
          </c:layout>
          <c:overlay val="0"/>
          <c:spPr>
            <a:noFill/>
            <a:ln>
              <a:noFill/>
            </a:ln>
            <a:effectLst/>
          </c:spPr>
        </c:title>
        <c:numFmt formatCode="&quot;$&quot;#,##0" sourceLinked="1"/>
        <c:majorTickMark val="none"/>
        <c:minorTickMark val="none"/>
        <c:tickLblPos val="nextTo"/>
        <c:spPr>
          <a:noFill/>
          <a:ln>
            <a:noFill/>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8492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700" b="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Price/SF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FF7F32"/>
            </a:solidFill>
            <a:ln>
              <a:noFill/>
            </a:ln>
            <a:effectLst/>
          </c:spPr>
          <c:invertIfNegative val="0"/>
          <c:dPt>
            <c:idx val="0"/>
            <c:invertIfNegative val="0"/>
            <c:bubble3D val="0"/>
            <c:spPr>
              <a:solidFill>
                <a:srgbClr val="002855"/>
              </a:solidFill>
              <a:ln>
                <a:noFill/>
              </a:ln>
              <a:effectLst/>
            </c:spPr>
            <c:extLst>
              <c:ext xmlns:c16="http://schemas.microsoft.com/office/drawing/2014/chart" uri="{C3380CC4-5D6E-409C-BE32-E72D297353CC}">
                <c16:uniqueId val="{00000001-BCBA-4043-A182-EED3877DE532}"/>
              </c:ext>
            </c:extLst>
          </c:dPt>
          <c:dLbls>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Charts'!$E$5:$E$15</c:f>
              <c:numCache>
                <c:formatCode>"$"#,##0.00</c:formatCode>
                <c:ptCount val="11"/>
                <c:pt idx="0">
                  <c:v>5.15</c:v>
                </c:pt>
                <c:pt idx="1">
                  <c:v>4.5</c:v>
                </c:pt>
                <c:pt idx="2">
                  <c:v>4.75</c:v>
                </c:pt>
                <c:pt idx="3">
                  <c:v>5.25</c:v>
                </c:pt>
                <c:pt idx="4">
                  <c:v>4.8</c:v>
                </c:pt>
              </c:numCache>
            </c:numRef>
          </c:val>
          <c:extLst>
            <c:ext xmlns:c16="http://schemas.microsoft.com/office/drawing/2014/chart" uri="{C3380CC4-5D6E-409C-BE32-E72D297353CC}">
              <c16:uniqueId val="{00000002-BCBA-4043-A182-EED3877DE532}"/>
            </c:ext>
          </c:extLst>
        </c:ser>
        <c:dLbls>
          <c:dLblPos val="outEnd"/>
          <c:showLegendKey val="0"/>
          <c:showVal val="1"/>
          <c:showCatName val="0"/>
          <c:showSerName val="0"/>
          <c:showPercent val="0"/>
          <c:showBubbleSize val="0"/>
        </c:dLbls>
        <c:gapWidth val="219"/>
        <c:axId val="451435472"/>
        <c:axId val="451413008"/>
      </c:barChart>
      <c:lineChart>
        <c:grouping val="standard"/>
        <c:varyColors val="0"/>
        <c:ser>
          <c:idx val="1"/>
          <c:order val="1"/>
          <c:spPr>
            <a:ln w="28575" cap="rnd">
              <a:solidFill>
                <a:schemeClr val="tx1">
                  <a:lumMod val="50000"/>
                  <a:lumOff val="5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F69-4FAD-B61B-A6F5A5770B65}"/>
                </c:ext>
              </c:extLst>
            </c:dLbl>
            <c:dLbl>
              <c:idx val="1"/>
              <c:delete val="1"/>
              <c:extLst>
                <c:ext xmlns:c15="http://schemas.microsoft.com/office/drawing/2012/chart" uri="{CE6537A1-D6FC-4f65-9D91-7224C49458BB}"/>
                <c:ext xmlns:c16="http://schemas.microsoft.com/office/drawing/2014/chart" uri="{C3380CC4-5D6E-409C-BE32-E72D297353CC}">
                  <c16:uniqueId val="{00000005-4F69-4FAD-B61B-A6F5A5770B65}"/>
                </c:ext>
              </c:extLst>
            </c:dLbl>
            <c:dLbl>
              <c:idx val="2"/>
              <c:delete val="1"/>
              <c:extLst>
                <c:ext xmlns:c15="http://schemas.microsoft.com/office/drawing/2012/chart" uri="{CE6537A1-D6FC-4f65-9D91-7224C49458BB}"/>
                <c:ext xmlns:c16="http://schemas.microsoft.com/office/drawing/2014/chart" uri="{C3380CC4-5D6E-409C-BE32-E72D297353CC}">
                  <c16:uniqueId val="{0000000D-4F69-4FAD-B61B-A6F5A5770B65}"/>
                </c:ext>
              </c:extLst>
            </c:dLbl>
            <c:dLbl>
              <c:idx val="3"/>
              <c:delete val="1"/>
              <c:extLst>
                <c:ext xmlns:c15="http://schemas.microsoft.com/office/drawing/2012/chart" uri="{CE6537A1-D6FC-4f65-9D91-7224C49458BB}"/>
                <c:ext xmlns:c16="http://schemas.microsoft.com/office/drawing/2014/chart" uri="{C3380CC4-5D6E-409C-BE32-E72D297353CC}">
                  <c16:uniqueId val="{0000000C-4F69-4FAD-B61B-A6F5A5770B65}"/>
                </c:ext>
              </c:extLst>
            </c:dLbl>
            <c:dLbl>
              <c:idx val="4"/>
              <c:delete val="1"/>
              <c:extLst>
                <c:ext xmlns:c15="http://schemas.microsoft.com/office/drawing/2012/chart" uri="{CE6537A1-D6FC-4f65-9D91-7224C49458BB}"/>
                <c:ext xmlns:c16="http://schemas.microsoft.com/office/drawing/2014/chart" uri="{C3380CC4-5D6E-409C-BE32-E72D297353CC}">
                  <c16:uniqueId val="{0000000B-4F69-4FAD-B61B-A6F5A5770B65}"/>
                </c:ext>
              </c:extLst>
            </c:dLbl>
            <c:dLbl>
              <c:idx val="5"/>
              <c:delete val="1"/>
              <c:extLst>
                <c:ext xmlns:c15="http://schemas.microsoft.com/office/drawing/2012/chart" uri="{CE6537A1-D6FC-4f65-9D91-7224C49458BB}"/>
                <c:ext xmlns:c16="http://schemas.microsoft.com/office/drawing/2014/chart" uri="{C3380CC4-5D6E-409C-BE32-E72D297353CC}">
                  <c16:uniqueId val="{0000000A-4F69-4FAD-B61B-A6F5A5770B65}"/>
                </c:ext>
              </c:extLst>
            </c:dLbl>
            <c:dLbl>
              <c:idx val="6"/>
              <c:delete val="1"/>
              <c:extLst>
                <c:ext xmlns:c15="http://schemas.microsoft.com/office/drawing/2012/chart" uri="{CE6537A1-D6FC-4f65-9D91-7224C49458BB}"/>
                <c:ext xmlns:c16="http://schemas.microsoft.com/office/drawing/2014/chart" uri="{C3380CC4-5D6E-409C-BE32-E72D297353CC}">
                  <c16:uniqueId val="{00000009-4F69-4FAD-B61B-A6F5A5770B65}"/>
                </c:ext>
              </c:extLst>
            </c:dLbl>
            <c:dLbl>
              <c:idx val="7"/>
              <c:delete val="1"/>
              <c:extLst>
                <c:ext xmlns:c15="http://schemas.microsoft.com/office/drawing/2012/chart" uri="{CE6537A1-D6FC-4f65-9D91-7224C49458BB}"/>
                <c:ext xmlns:c16="http://schemas.microsoft.com/office/drawing/2014/chart" uri="{C3380CC4-5D6E-409C-BE32-E72D297353CC}">
                  <c16:uniqueId val="{00000008-4F69-4FAD-B61B-A6F5A5770B65}"/>
                </c:ext>
              </c:extLst>
            </c:dLbl>
            <c:dLbl>
              <c:idx val="8"/>
              <c:delete val="1"/>
              <c:extLst>
                <c:ext xmlns:c15="http://schemas.microsoft.com/office/drawing/2012/chart" uri="{CE6537A1-D6FC-4f65-9D91-7224C49458BB}"/>
                <c:ext xmlns:c16="http://schemas.microsoft.com/office/drawing/2014/chart" uri="{C3380CC4-5D6E-409C-BE32-E72D297353CC}">
                  <c16:uniqueId val="{00000007-4F69-4FAD-B61B-A6F5A5770B65}"/>
                </c:ext>
              </c:extLst>
            </c:dLbl>
            <c:dLbl>
              <c:idx val="9"/>
              <c:delete val="1"/>
              <c:extLst>
                <c:ext xmlns:c15="http://schemas.microsoft.com/office/drawing/2012/chart" uri="{CE6537A1-D6FC-4f65-9D91-7224C49458BB}"/>
                <c:ext xmlns:c16="http://schemas.microsoft.com/office/drawing/2014/chart" uri="{C3380CC4-5D6E-409C-BE32-E72D297353CC}">
                  <c16:uniqueId val="{00000006-4F69-4FAD-B61B-A6F5A5770B65}"/>
                </c:ext>
              </c:extLst>
            </c:dLbl>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Charts'!$F$5:$F$15</c:f>
              <c:numCache>
                <c:formatCode>"$"#,##0.00</c:formatCode>
                <c:ptCount val="11"/>
                <c:pt idx="0">
                  <c:v>4.8899999999999997</c:v>
                </c:pt>
                <c:pt idx="1">
                  <c:v>4.8899999999999997</c:v>
                </c:pt>
                <c:pt idx="2">
                  <c:v>4.8899999999999997</c:v>
                </c:pt>
                <c:pt idx="3">
                  <c:v>4.8899999999999997</c:v>
                </c:pt>
                <c:pt idx="4">
                  <c:v>4.8899999999999997</c:v>
                </c:pt>
                <c:pt idx="5">
                  <c:v>4.8899999999999997</c:v>
                </c:pt>
                <c:pt idx="6">
                  <c:v>4.8899999999999997</c:v>
                </c:pt>
                <c:pt idx="7">
                  <c:v>4.8899999999999997</c:v>
                </c:pt>
                <c:pt idx="8">
                  <c:v>4.8899999999999997</c:v>
                </c:pt>
                <c:pt idx="9">
                  <c:v>4.8899999999999997</c:v>
                </c:pt>
                <c:pt idx="10">
                  <c:v>4.8899999999999997</c:v>
                </c:pt>
              </c:numCache>
            </c:numRef>
          </c:val>
          <c:smooth val="0"/>
          <c:extLst>
            <c:ext xmlns:c16="http://schemas.microsoft.com/office/drawing/2014/chart" uri="{C3380CC4-5D6E-409C-BE32-E72D297353CC}">
              <c16:uniqueId val="{00000003-4F69-4FAD-B61B-A6F5A5770B65}"/>
            </c:ext>
          </c:extLst>
        </c:ser>
        <c:dLbls>
          <c:showLegendKey val="0"/>
          <c:showVal val="0"/>
          <c:showCatName val="0"/>
          <c:showSerName val="0"/>
          <c:showPercent val="0"/>
          <c:showBubbleSize val="0"/>
        </c:dLbls>
        <c:marker val="1"/>
        <c:smooth val="0"/>
        <c:axId val="451435472"/>
        <c:axId val="451413008"/>
      </c:lineChart>
      <c:catAx>
        <c:axId val="451435472"/>
        <c:scaling>
          <c:orientation val="minMax"/>
        </c:scaling>
        <c:delete val="1"/>
        <c:axPos val="b"/>
        <c:numFmt formatCode="General" sourceLinked="1"/>
        <c:majorTickMark val="none"/>
        <c:minorTickMark val="none"/>
        <c:tickLblPos val="nextTo"/>
        <c:crossAx val="451413008"/>
        <c:crosses val="autoZero"/>
        <c:auto val="1"/>
        <c:lblAlgn val="ctr"/>
        <c:lblOffset val="100"/>
        <c:noMultiLvlLbl val="0"/>
      </c:catAx>
      <c:valAx>
        <c:axId val="451413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r>
                  <a:rPr lang="en-US" sz="1300"/>
                  <a:t>$/SF</a:t>
                </a:r>
              </a:p>
            </c:rich>
          </c:tx>
          <c:overlay val="0"/>
          <c:spPr>
            <a:noFill/>
            <a:ln>
              <a:noFill/>
            </a:ln>
            <a:effectLst/>
          </c:spPr>
          <c:txPr>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451435472"/>
        <c:crosses val="autoZero"/>
        <c:crossBetween val="between"/>
      </c:valAx>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Price/Unit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FF7F32"/>
            </a:solidFill>
            <a:ln>
              <a:noFill/>
            </a:ln>
            <a:effectLst/>
          </c:spPr>
          <c:invertIfNegative val="0"/>
          <c:dPt>
            <c:idx val="0"/>
            <c:invertIfNegative val="0"/>
            <c:bubble3D val="0"/>
            <c:spPr>
              <a:solidFill>
                <a:srgbClr val="002855"/>
              </a:solidFill>
              <a:ln>
                <a:noFill/>
              </a:ln>
              <a:effectLst/>
            </c:spPr>
            <c:extLst>
              <c:ext xmlns:c16="http://schemas.microsoft.com/office/drawing/2014/chart" uri="{C3380CC4-5D6E-409C-BE32-E72D297353CC}">
                <c16:uniqueId val="{00000001-3B47-42A9-B893-EEFFE8F5408D}"/>
              </c:ext>
            </c:extLst>
          </c:dPt>
          <c:dLbls>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Charts'!$E$24:$E$34</c:f>
              <c:numCache>
                <c:formatCode>"$"#,##0</c:formatCode>
                <c:ptCount val="11"/>
                <c:pt idx="0">
                  <c:v>250000</c:v>
                </c:pt>
                <c:pt idx="1">
                  <c:v>275000</c:v>
                </c:pt>
                <c:pt idx="2">
                  <c:v>300000</c:v>
                </c:pt>
                <c:pt idx="3">
                  <c:v>260000</c:v>
                </c:pt>
                <c:pt idx="4">
                  <c:v>280000</c:v>
                </c:pt>
              </c:numCache>
            </c:numRef>
          </c:val>
          <c:extLst>
            <c:ext xmlns:c16="http://schemas.microsoft.com/office/drawing/2014/chart" uri="{C3380CC4-5D6E-409C-BE32-E72D297353CC}">
              <c16:uniqueId val="{00000002-3B47-42A9-B893-EEFFE8F5408D}"/>
            </c:ext>
          </c:extLst>
        </c:ser>
        <c:dLbls>
          <c:dLblPos val="outEnd"/>
          <c:showLegendKey val="0"/>
          <c:showVal val="1"/>
          <c:showCatName val="0"/>
          <c:showSerName val="0"/>
          <c:showPercent val="0"/>
          <c:showBubbleSize val="0"/>
        </c:dLbls>
        <c:gapWidth val="219"/>
        <c:axId val="451414672"/>
        <c:axId val="451430064"/>
      </c:barChart>
      <c:lineChart>
        <c:grouping val="standard"/>
        <c:varyColors val="0"/>
        <c:ser>
          <c:idx val="1"/>
          <c:order val="1"/>
          <c:spPr>
            <a:ln w="28575" cap="rnd">
              <a:solidFill>
                <a:schemeClr val="tx1">
                  <a:lumMod val="50000"/>
                  <a:lumOff val="5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AA43-4A31-B25F-93341BC2E34E}"/>
                </c:ext>
              </c:extLst>
            </c:dLbl>
            <c:dLbl>
              <c:idx val="1"/>
              <c:delete val="1"/>
              <c:extLst>
                <c:ext xmlns:c15="http://schemas.microsoft.com/office/drawing/2012/chart" uri="{CE6537A1-D6FC-4f65-9D91-7224C49458BB}"/>
                <c:ext xmlns:c16="http://schemas.microsoft.com/office/drawing/2014/chart" uri="{C3380CC4-5D6E-409C-BE32-E72D297353CC}">
                  <c16:uniqueId val="{0000000D-AA43-4A31-B25F-93341BC2E34E}"/>
                </c:ext>
              </c:extLst>
            </c:dLbl>
            <c:dLbl>
              <c:idx val="2"/>
              <c:delete val="1"/>
              <c:extLst>
                <c:ext xmlns:c15="http://schemas.microsoft.com/office/drawing/2012/chart" uri="{CE6537A1-D6FC-4f65-9D91-7224C49458BB}"/>
                <c:ext xmlns:c16="http://schemas.microsoft.com/office/drawing/2014/chart" uri="{C3380CC4-5D6E-409C-BE32-E72D297353CC}">
                  <c16:uniqueId val="{0000000C-AA43-4A31-B25F-93341BC2E34E}"/>
                </c:ext>
              </c:extLst>
            </c:dLbl>
            <c:dLbl>
              <c:idx val="3"/>
              <c:delete val="1"/>
              <c:extLst>
                <c:ext xmlns:c15="http://schemas.microsoft.com/office/drawing/2012/chart" uri="{CE6537A1-D6FC-4f65-9D91-7224C49458BB}"/>
                <c:ext xmlns:c16="http://schemas.microsoft.com/office/drawing/2014/chart" uri="{C3380CC4-5D6E-409C-BE32-E72D297353CC}">
                  <c16:uniqueId val="{0000000B-AA43-4A31-B25F-93341BC2E34E}"/>
                </c:ext>
              </c:extLst>
            </c:dLbl>
            <c:dLbl>
              <c:idx val="4"/>
              <c:delete val="1"/>
              <c:extLst>
                <c:ext xmlns:c15="http://schemas.microsoft.com/office/drawing/2012/chart" uri="{CE6537A1-D6FC-4f65-9D91-7224C49458BB}"/>
                <c:ext xmlns:c16="http://schemas.microsoft.com/office/drawing/2014/chart" uri="{C3380CC4-5D6E-409C-BE32-E72D297353CC}">
                  <c16:uniqueId val="{0000000A-AA43-4A31-B25F-93341BC2E34E}"/>
                </c:ext>
              </c:extLst>
            </c:dLbl>
            <c:dLbl>
              <c:idx val="5"/>
              <c:delete val="1"/>
              <c:extLst>
                <c:ext xmlns:c15="http://schemas.microsoft.com/office/drawing/2012/chart" uri="{CE6537A1-D6FC-4f65-9D91-7224C49458BB}"/>
                <c:ext xmlns:c16="http://schemas.microsoft.com/office/drawing/2014/chart" uri="{C3380CC4-5D6E-409C-BE32-E72D297353CC}">
                  <c16:uniqueId val="{00000009-AA43-4A31-B25F-93341BC2E34E}"/>
                </c:ext>
              </c:extLst>
            </c:dLbl>
            <c:dLbl>
              <c:idx val="6"/>
              <c:delete val="1"/>
              <c:extLst>
                <c:ext xmlns:c15="http://schemas.microsoft.com/office/drawing/2012/chart" uri="{CE6537A1-D6FC-4f65-9D91-7224C49458BB}"/>
                <c:ext xmlns:c16="http://schemas.microsoft.com/office/drawing/2014/chart" uri="{C3380CC4-5D6E-409C-BE32-E72D297353CC}">
                  <c16:uniqueId val="{00000008-AA43-4A31-B25F-93341BC2E34E}"/>
                </c:ext>
              </c:extLst>
            </c:dLbl>
            <c:dLbl>
              <c:idx val="7"/>
              <c:delete val="1"/>
              <c:extLst>
                <c:ext xmlns:c15="http://schemas.microsoft.com/office/drawing/2012/chart" uri="{CE6537A1-D6FC-4f65-9D91-7224C49458BB}"/>
                <c:ext xmlns:c16="http://schemas.microsoft.com/office/drawing/2014/chart" uri="{C3380CC4-5D6E-409C-BE32-E72D297353CC}">
                  <c16:uniqueId val="{00000007-AA43-4A31-B25F-93341BC2E34E}"/>
                </c:ext>
              </c:extLst>
            </c:dLbl>
            <c:dLbl>
              <c:idx val="8"/>
              <c:delete val="1"/>
              <c:extLst>
                <c:ext xmlns:c15="http://schemas.microsoft.com/office/drawing/2012/chart" uri="{CE6537A1-D6FC-4f65-9D91-7224C49458BB}"/>
                <c:ext xmlns:c16="http://schemas.microsoft.com/office/drawing/2014/chart" uri="{C3380CC4-5D6E-409C-BE32-E72D297353CC}">
                  <c16:uniqueId val="{00000006-AA43-4A31-B25F-93341BC2E34E}"/>
                </c:ext>
              </c:extLst>
            </c:dLbl>
            <c:dLbl>
              <c:idx val="9"/>
              <c:delete val="1"/>
              <c:extLst>
                <c:ext xmlns:c15="http://schemas.microsoft.com/office/drawing/2012/chart" uri="{CE6537A1-D6FC-4f65-9D91-7224C49458BB}"/>
                <c:ext xmlns:c16="http://schemas.microsoft.com/office/drawing/2014/chart" uri="{C3380CC4-5D6E-409C-BE32-E72D297353CC}">
                  <c16:uniqueId val="{00000005-AA43-4A31-B25F-93341BC2E34E}"/>
                </c:ext>
              </c:extLst>
            </c:dLbl>
            <c:dLbl>
              <c:idx val="10"/>
              <c:layout>
                <c:manualLayout>
                  <c:x val="-5.0842056549176241E-3"/>
                  <c:y val="-3.32247968169598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A43-4A31-B25F-93341BC2E34E}"/>
                </c:ext>
              </c:extLst>
            </c:dLbl>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Charts'!$F$24:$F$34</c:f>
              <c:numCache>
                <c:formatCode>"$"#,##0</c:formatCode>
                <c:ptCount val="11"/>
                <c:pt idx="0">
                  <c:v>273000</c:v>
                </c:pt>
                <c:pt idx="1">
                  <c:v>273000</c:v>
                </c:pt>
                <c:pt idx="2">
                  <c:v>273000</c:v>
                </c:pt>
                <c:pt idx="3">
                  <c:v>273000</c:v>
                </c:pt>
                <c:pt idx="4">
                  <c:v>273000</c:v>
                </c:pt>
                <c:pt idx="5">
                  <c:v>273000</c:v>
                </c:pt>
                <c:pt idx="6">
                  <c:v>273000</c:v>
                </c:pt>
                <c:pt idx="7">
                  <c:v>273000</c:v>
                </c:pt>
                <c:pt idx="8">
                  <c:v>273000</c:v>
                </c:pt>
                <c:pt idx="9">
                  <c:v>273000</c:v>
                </c:pt>
                <c:pt idx="10">
                  <c:v>273000</c:v>
                </c:pt>
              </c:numCache>
            </c:numRef>
          </c:val>
          <c:smooth val="0"/>
          <c:extLst>
            <c:ext xmlns:c16="http://schemas.microsoft.com/office/drawing/2014/chart" uri="{C3380CC4-5D6E-409C-BE32-E72D297353CC}">
              <c16:uniqueId val="{00000003-AA43-4A31-B25F-93341BC2E34E}"/>
            </c:ext>
          </c:extLst>
        </c:ser>
        <c:dLbls>
          <c:showLegendKey val="0"/>
          <c:showVal val="0"/>
          <c:showCatName val="0"/>
          <c:showSerName val="0"/>
          <c:showPercent val="0"/>
          <c:showBubbleSize val="0"/>
        </c:dLbls>
        <c:marker val="1"/>
        <c:smooth val="0"/>
        <c:axId val="451414672"/>
        <c:axId val="451430064"/>
      </c:lineChart>
      <c:catAx>
        <c:axId val="451414672"/>
        <c:scaling>
          <c:orientation val="minMax"/>
        </c:scaling>
        <c:delete val="1"/>
        <c:axPos val="b"/>
        <c:majorTickMark val="none"/>
        <c:minorTickMark val="none"/>
        <c:tickLblPos val="nextTo"/>
        <c:crossAx val="451430064"/>
        <c:crosses val="autoZero"/>
        <c:auto val="1"/>
        <c:lblAlgn val="ctr"/>
        <c:lblOffset val="100"/>
        <c:noMultiLvlLbl val="0"/>
      </c:catAx>
      <c:valAx>
        <c:axId val="451430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r>
                  <a:rPr lang="en-US" sz="1300"/>
                  <a:t>$/Unit</a:t>
                </a:r>
              </a:p>
            </c:rich>
          </c:tx>
          <c:overlay val="0"/>
          <c:spPr>
            <a:noFill/>
            <a:ln>
              <a:noFill/>
            </a:ln>
            <a:effectLst/>
          </c:spPr>
          <c:txPr>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451414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Rents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'Comps Charts'!$AF$4</c:f>
              <c:strCache>
                <c:ptCount val="1"/>
                <c:pt idx="0">
                  <c:v>1 Bed Avg Rent</c:v>
                </c:pt>
              </c:strCache>
            </c:strRef>
          </c:tx>
          <c:spPr>
            <a:solidFill>
              <a:srgbClr val="002855"/>
            </a:solidFill>
            <a:ln>
              <a:noFill/>
            </a:ln>
            <a:effectLst/>
          </c:spPr>
          <c:invertIfNegative val="0"/>
          <c:val>
            <c:numRef>
              <c:f>'Comps Charts'!$AF$5:$AF$15</c:f>
              <c:numCache>
                <c:formatCode>"$"#,##0</c:formatCode>
                <c:ptCount val="11"/>
                <c:pt idx="0">
                  <c:v>800</c:v>
                </c:pt>
                <c:pt idx="1">
                  <c:v>810</c:v>
                </c:pt>
                <c:pt idx="2">
                  <c:v>900</c:v>
                </c:pt>
                <c:pt idx="3">
                  <c:v>750</c:v>
                </c:pt>
                <c:pt idx="4">
                  <c:v>825</c:v>
                </c:pt>
              </c:numCache>
            </c:numRef>
          </c:val>
          <c:extLst>
            <c:ext xmlns:c16="http://schemas.microsoft.com/office/drawing/2014/chart" uri="{C3380CC4-5D6E-409C-BE32-E72D297353CC}">
              <c16:uniqueId val="{00000000-6843-4FD1-B268-2B6E347C16F8}"/>
            </c:ext>
          </c:extLst>
        </c:ser>
        <c:ser>
          <c:idx val="1"/>
          <c:order val="1"/>
          <c:tx>
            <c:strRef>
              <c:f>'Comps Charts'!$AG$4</c:f>
              <c:strCache>
                <c:ptCount val="1"/>
                <c:pt idx="0">
                  <c:v>2 Bed Avg Rent</c:v>
                </c:pt>
              </c:strCache>
            </c:strRef>
          </c:tx>
          <c:spPr>
            <a:solidFill>
              <a:srgbClr val="FF7F32"/>
            </a:solidFill>
            <a:ln>
              <a:noFill/>
            </a:ln>
            <a:effectLst/>
          </c:spPr>
          <c:invertIfNegative val="0"/>
          <c:val>
            <c:numRef>
              <c:f>'Comps Charts'!$AG$5:$AG$15</c:f>
              <c:numCache>
                <c:formatCode>"$"#,##0</c:formatCode>
                <c:ptCount val="11"/>
                <c:pt idx="0">
                  <c:v>875</c:v>
                </c:pt>
                <c:pt idx="1">
                  <c:v>900</c:v>
                </c:pt>
                <c:pt idx="2">
                  <c:v>975</c:v>
                </c:pt>
                <c:pt idx="3">
                  <c:v>825</c:v>
                </c:pt>
              </c:numCache>
            </c:numRef>
          </c:val>
          <c:extLst>
            <c:ext xmlns:c16="http://schemas.microsoft.com/office/drawing/2014/chart" uri="{C3380CC4-5D6E-409C-BE32-E72D297353CC}">
              <c16:uniqueId val="{00000001-6843-4FD1-B268-2B6E347C16F8}"/>
            </c:ext>
          </c:extLst>
        </c:ser>
        <c:ser>
          <c:idx val="2"/>
          <c:order val="2"/>
          <c:tx>
            <c:strRef>
              <c:f>'Comps Charts'!$AH$4</c:f>
              <c:strCache>
                <c:ptCount val="1"/>
                <c:pt idx="0">
                  <c:v>3 Bed Avg Rent</c:v>
                </c:pt>
              </c:strCache>
            </c:strRef>
          </c:tx>
          <c:spPr>
            <a:solidFill>
              <a:srgbClr val="A5A5A5"/>
            </a:solidFill>
            <a:ln>
              <a:noFill/>
            </a:ln>
            <a:effectLst/>
          </c:spPr>
          <c:invertIfNegative val="0"/>
          <c:val>
            <c:numRef>
              <c:f>'Comps Charts'!$AH$5:$AH$15</c:f>
              <c:numCache>
                <c:formatCode>"$"#,##0</c:formatCode>
                <c:ptCount val="11"/>
                <c:pt idx="1">
                  <c:v>950</c:v>
                </c:pt>
                <c:pt idx="2">
                  <c:v>1000</c:v>
                </c:pt>
                <c:pt idx="4">
                  <c:v>910</c:v>
                </c:pt>
              </c:numCache>
            </c:numRef>
          </c:val>
          <c:extLst>
            <c:ext xmlns:c16="http://schemas.microsoft.com/office/drawing/2014/chart" uri="{C3380CC4-5D6E-409C-BE32-E72D297353CC}">
              <c16:uniqueId val="{00000002-6843-4FD1-B268-2B6E347C16F8}"/>
            </c:ext>
          </c:extLst>
        </c:ser>
        <c:ser>
          <c:idx val="3"/>
          <c:order val="3"/>
          <c:tx>
            <c:strRef>
              <c:f>'Comps Charts'!$AI$4</c:f>
              <c:strCache>
                <c:ptCount val="1"/>
                <c:pt idx="0">
                  <c:v>4 Bed Avg Rent</c:v>
                </c:pt>
              </c:strCache>
            </c:strRef>
          </c:tx>
          <c:spPr>
            <a:solidFill>
              <a:srgbClr val="BDD7EE"/>
            </a:solidFill>
            <a:ln>
              <a:noFill/>
            </a:ln>
            <a:effectLst/>
          </c:spPr>
          <c:invertIfNegative val="0"/>
          <c:val>
            <c:numRef>
              <c:f>'Comps Charts'!$AI$5:$AI$15</c:f>
              <c:numCache>
                <c:formatCode>"$"#,##0</c:formatCode>
                <c:ptCount val="11"/>
                <c:pt idx="0">
                  <c:v>690</c:v>
                </c:pt>
                <c:pt idx="1">
                  <c:v>700</c:v>
                </c:pt>
                <c:pt idx="3">
                  <c:v>700</c:v>
                </c:pt>
                <c:pt idx="4">
                  <c:v>715</c:v>
                </c:pt>
              </c:numCache>
            </c:numRef>
          </c:val>
          <c:extLst>
            <c:ext xmlns:c16="http://schemas.microsoft.com/office/drawing/2014/chart" uri="{C3380CC4-5D6E-409C-BE32-E72D297353CC}">
              <c16:uniqueId val="{00000003-6843-4FD1-B268-2B6E347C16F8}"/>
            </c:ext>
          </c:extLst>
        </c:ser>
        <c:dLbls>
          <c:showLegendKey val="0"/>
          <c:showVal val="0"/>
          <c:showCatName val="0"/>
          <c:showSerName val="0"/>
          <c:showPercent val="0"/>
          <c:showBubbleSize val="0"/>
        </c:dLbls>
        <c:gapWidth val="219"/>
        <c:overlap val="-27"/>
        <c:axId val="1298855727"/>
        <c:axId val="1298859471"/>
      </c:barChart>
      <c:catAx>
        <c:axId val="1298855727"/>
        <c:scaling>
          <c:orientation val="minMax"/>
        </c:scaling>
        <c:delete val="1"/>
        <c:axPos val="b"/>
        <c:majorTickMark val="none"/>
        <c:minorTickMark val="none"/>
        <c:tickLblPos val="nextTo"/>
        <c:crossAx val="1298859471"/>
        <c:crosses val="autoZero"/>
        <c:auto val="1"/>
        <c:lblAlgn val="ctr"/>
        <c:lblOffset val="100"/>
        <c:noMultiLvlLbl val="0"/>
      </c:catAx>
      <c:valAx>
        <c:axId val="12988594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r>
                  <a:rPr lang="en-US" sz="1300"/>
                  <a:t>Rent by Bed</a:t>
                </a:r>
                <a:r>
                  <a:rPr lang="en-US" sz="1300" baseline="0"/>
                  <a:t> Count</a:t>
                </a:r>
                <a:endParaRPr lang="en-US" sz="1300"/>
              </a:p>
            </c:rich>
          </c:tx>
          <c:overlay val="0"/>
          <c:spPr>
            <a:noFill/>
            <a:ln>
              <a:noFill/>
            </a:ln>
            <a:effectLst/>
          </c:spPr>
          <c:txPr>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129885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Cap Rate and GRM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'Comps Charts'!$AF$23</c:f>
              <c:strCache>
                <c:ptCount val="1"/>
                <c:pt idx="0">
                  <c:v>Cap Rate</c:v>
                </c:pt>
              </c:strCache>
            </c:strRef>
          </c:tx>
          <c:spPr>
            <a:solidFill>
              <a:srgbClr val="002855"/>
            </a:solidFill>
            <a:ln>
              <a:noFill/>
            </a:ln>
            <a:effectLst/>
          </c:spPr>
          <c:invertIfNegative val="0"/>
          <c:val>
            <c:numRef>
              <c:f>'Comps Charts'!$AF$24:$AF$33</c:f>
              <c:numCache>
                <c:formatCode>_(* #,##0.00_);_(* \(#,##0.00\);_(* "-"??_);_(@_)</c:formatCode>
                <c:ptCount val="10"/>
                <c:pt idx="0">
                  <c:v>5.5</c:v>
                </c:pt>
                <c:pt idx="1">
                  <c:v>6.23</c:v>
                </c:pt>
                <c:pt idx="2">
                  <c:v>4.9800000000000004</c:v>
                </c:pt>
                <c:pt idx="3">
                  <c:v>6.98</c:v>
                </c:pt>
                <c:pt idx="4">
                  <c:v>5.85</c:v>
                </c:pt>
              </c:numCache>
            </c:numRef>
          </c:val>
          <c:extLst>
            <c:ext xmlns:c16="http://schemas.microsoft.com/office/drawing/2014/chart" uri="{C3380CC4-5D6E-409C-BE32-E72D297353CC}">
              <c16:uniqueId val="{00000000-883A-4ED5-9343-C4B586512A32}"/>
            </c:ext>
          </c:extLst>
        </c:ser>
        <c:ser>
          <c:idx val="1"/>
          <c:order val="1"/>
          <c:tx>
            <c:strRef>
              <c:f>'Comps Charts'!$AG$23</c:f>
              <c:strCache>
                <c:ptCount val="1"/>
                <c:pt idx="0">
                  <c:v>GRM</c:v>
                </c:pt>
              </c:strCache>
            </c:strRef>
          </c:tx>
          <c:spPr>
            <a:solidFill>
              <a:srgbClr val="FF7F32"/>
            </a:solidFill>
            <a:ln>
              <a:noFill/>
            </a:ln>
            <a:effectLst/>
          </c:spPr>
          <c:invertIfNegative val="0"/>
          <c:val>
            <c:numRef>
              <c:f>'Comps Charts'!$AG$24:$AG$33</c:f>
              <c:numCache>
                <c:formatCode>_(* #,##0.00_);_(* \(#,##0.00\);_(* "-"??_);_(@_)</c:formatCode>
                <c:ptCount val="10"/>
                <c:pt idx="0">
                  <c:v>15.5</c:v>
                </c:pt>
                <c:pt idx="1">
                  <c:v>14.25</c:v>
                </c:pt>
                <c:pt idx="2">
                  <c:v>13.84</c:v>
                </c:pt>
                <c:pt idx="3">
                  <c:v>14.35</c:v>
                </c:pt>
                <c:pt idx="4">
                  <c:v>15.84</c:v>
                </c:pt>
              </c:numCache>
            </c:numRef>
          </c:val>
          <c:extLst>
            <c:ext xmlns:c16="http://schemas.microsoft.com/office/drawing/2014/chart" uri="{C3380CC4-5D6E-409C-BE32-E72D297353CC}">
              <c16:uniqueId val="{00000001-883A-4ED5-9343-C4B586512A32}"/>
            </c:ext>
          </c:extLst>
        </c:ser>
        <c:dLbls>
          <c:showLegendKey val="0"/>
          <c:showVal val="0"/>
          <c:showCatName val="0"/>
          <c:showSerName val="0"/>
          <c:showPercent val="0"/>
          <c:showBubbleSize val="0"/>
        </c:dLbls>
        <c:gapWidth val="219"/>
        <c:overlap val="-27"/>
        <c:axId val="1298560015"/>
        <c:axId val="1298562095"/>
      </c:barChart>
      <c:catAx>
        <c:axId val="1298560015"/>
        <c:scaling>
          <c:orientation val="minMax"/>
        </c:scaling>
        <c:delete val="1"/>
        <c:axPos val="b"/>
        <c:majorTickMark val="none"/>
        <c:minorTickMark val="none"/>
        <c:tickLblPos val="nextTo"/>
        <c:crossAx val="1298562095"/>
        <c:crosses val="autoZero"/>
        <c:auto val="1"/>
        <c:lblAlgn val="ctr"/>
        <c:lblOffset val="100"/>
        <c:noMultiLvlLbl val="0"/>
      </c:catAx>
      <c:valAx>
        <c:axId val="129856209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12985600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3</xdr:row>
      <xdr:rowOff>21167</xdr:rowOff>
    </xdr:from>
    <xdr:to>
      <xdr:col>2</xdr:col>
      <xdr:colOff>333375</xdr:colOff>
      <xdr:row>4</xdr:row>
      <xdr:rowOff>138641</xdr:rowOff>
    </xdr:to>
    <xdr:sp macro="" textlink="">
      <xdr:nvSpPr>
        <xdr:cNvPr id="2" name="HideButton">
          <a:extLst>
            <a:ext uri="{FF2B5EF4-FFF2-40B4-BE49-F238E27FC236}">
              <a16:creationId xmlns:a16="http://schemas.microsoft.com/office/drawing/2014/main" id="{00000000-0008-0000-0700-000002000000}"/>
            </a:ext>
          </a:extLst>
        </xdr:cNvPr>
        <xdr:cNvSpPr/>
      </xdr:nvSpPr>
      <xdr:spPr>
        <a:xfrm>
          <a:off x="63500" y="506942"/>
          <a:ext cx="2032000" cy="27939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Generate</a:t>
          </a:r>
          <a:r>
            <a:rPr lang="en-US" sz="1000" b="1" baseline="0"/>
            <a:t> Specification</a:t>
          </a:r>
          <a:endParaRPr lang="en-US" sz="1000" b="1"/>
        </a:p>
      </xdr:txBody>
    </xdr:sp>
    <xdr:clientData fPrintsWithSheet="0"/>
  </xdr:twoCellAnchor>
  <xdr:twoCellAnchor editAs="absolute">
    <xdr:from>
      <xdr:col>2</xdr:col>
      <xdr:colOff>523875</xdr:colOff>
      <xdr:row>3</xdr:row>
      <xdr:rowOff>16934</xdr:rowOff>
    </xdr:from>
    <xdr:to>
      <xdr:col>3</xdr:col>
      <xdr:colOff>674687</xdr:colOff>
      <xdr:row>4</xdr:row>
      <xdr:rowOff>134408</xdr:rowOff>
    </xdr:to>
    <xdr:sp macro="" textlink="">
      <xdr:nvSpPr>
        <xdr:cNvPr id="3" name="HideButton">
          <a:extLst>
            <a:ext uri="{FF2B5EF4-FFF2-40B4-BE49-F238E27FC236}">
              <a16:creationId xmlns:a16="http://schemas.microsoft.com/office/drawing/2014/main" id="{00000000-0008-0000-0700-000003000000}"/>
            </a:ext>
          </a:extLst>
        </xdr:cNvPr>
        <xdr:cNvSpPr/>
      </xdr:nvSpPr>
      <xdr:spPr>
        <a:xfrm>
          <a:off x="2286000" y="502709"/>
          <a:ext cx="2032000" cy="27939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Clear </a:t>
          </a:r>
          <a:r>
            <a:rPr lang="en-US" sz="1000" b="1" baseline="0"/>
            <a:t>Specification</a:t>
          </a:r>
          <a:endParaRPr lang="en-US" sz="1000" b="1"/>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339089</xdr:colOff>
      <xdr:row>38</xdr:row>
      <xdr:rowOff>71566</xdr:rowOff>
    </xdr:from>
    <xdr:to>
      <xdr:col>13</xdr:col>
      <xdr:colOff>832485</xdr:colOff>
      <xdr:row>54</xdr:row>
      <xdr:rowOff>66982</xdr:rowOff>
    </xdr:to>
    <xdr:grpSp>
      <xdr:nvGrpSpPr>
        <xdr:cNvPr id="3" name="Group 2">
          <a:extLst>
            <a:ext uri="{FF2B5EF4-FFF2-40B4-BE49-F238E27FC236}">
              <a16:creationId xmlns:a16="http://schemas.microsoft.com/office/drawing/2014/main" id="{C2D7CA39-F411-4032-A1EB-78D1C521B5CA}"/>
            </a:ext>
          </a:extLst>
        </xdr:cNvPr>
        <xdr:cNvGrpSpPr/>
      </xdr:nvGrpSpPr>
      <xdr:grpSpPr>
        <a:xfrm>
          <a:off x="339089" y="2936393"/>
          <a:ext cx="8354452" cy="2691724"/>
          <a:chOff x="339089" y="6244254"/>
          <a:chExt cx="9846946" cy="2605266"/>
        </a:xfrm>
      </xdr:grpSpPr>
      <xdr:graphicFrame macro="">
        <xdr:nvGraphicFramePr>
          <xdr:cNvPr id="5" name="Chart 7">
            <a:extLst>
              <a:ext uri="{FF2B5EF4-FFF2-40B4-BE49-F238E27FC236}">
                <a16:creationId xmlns:a16="http://schemas.microsoft.com/office/drawing/2014/main" id="{00000000-0008-0000-0F00-000008000000}"/>
              </a:ext>
            </a:extLst>
          </xdr:cNvPr>
          <xdr:cNvGraphicFramePr>
            <a:graphicFrameLocks noChangeAspect="1"/>
          </xdr:cNvGraphicFramePr>
        </xdr:nvGraphicFramePr>
        <xdr:xfrm>
          <a:off x="5505450" y="6244254"/>
          <a:ext cx="4680585" cy="2605266"/>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339089" y="6244254"/>
          <a:ext cx="5137785" cy="256724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editAs="absolute">
    <xdr:from>
      <xdr:col>9</xdr:col>
      <xdr:colOff>512639</xdr:colOff>
      <xdr:row>1</xdr:row>
      <xdr:rowOff>156628</xdr:rowOff>
    </xdr:from>
    <xdr:to>
      <xdr:col>11</xdr:col>
      <xdr:colOff>723748</xdr:colOff>
      <xdr:row>3</xdr:row>
      <xdr:rowOff>110259</xdr:rowOff>
    </xdr:to>
    <xdr:sp macro="[0]!Sheet3.hideUnhide" textlink="">
      <xdr:nvSpPr>
        <xdr:cNvPr id="14" name="HideButton">
          <a:extLst>
            <a:ext uri="{FF2B5EF4-FFF2-40B4-BE49-F238E27FC236}">
              <a16:creationId xmlns:a16="http://schemas.microsoft.com/office/drawing/2014/main" id="{00000000-0008-0000-0F00-00000E000000}"/>
            </a:ext>
          </a:extLst>
        </xdr:cNvPr>
        <xdr:cNvSpPr/>
      </xdr:nvSpPr>
      <xdr:spPr>
        <a:xfrm>
          <a:off x="5489574" y="318553"/>
          <a:ext cx="1671609" cy="273671"/>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Unhide Unused Rows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99728</xdr:colOff>
      <xdr:row>0</xdr:row>
      <xdr:rowOff>110490</xdr:rowOff>
    </xdr:from>
    <xdr:to>
      <xdr:col>21</xdr:col>
      <xdr:colOff>576722</xdr:colOff>
      <xdr:row>0</xdr:row>
      <xdr:rowOff>385155</xdr:rowOff>
    </xdr:to>
    <xdr:sp macro="[0]!Sheet7.hideUnhide" textlink="">
      <xdr:nvSpPr>
        <xdr:cNvPr id="4" name="HideButton">
          <a:extLst>
            <a:ext uri="{FF2B5EF4-FFF2-40B4-BE49-F238E27FC236}">
              <a16:creationId xmlns:a16="http://schemas.microsoft.com/office/drawing/2014/main" id="{00000000-0008-0000-1000-000004000000}"/>
            </a:ext>
          </a:extLst>
        </xdr:cNvPr>
        <xdr:cNvSpPr/>
      </xdr:nvSpPr>
      <xdr:spPr>
        <a:xfrm>
          <a:off x="5629275" y="95250"/>
          <a:ext cx="1695450" cy="276224"/>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Unhide Unused Rows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4</xdr:col>
      <xdr:colOff>638629</xdr:colOff>
      <xdr:row>0</xdr:row>
      <xdr:rowOff>25400</xdr:rowOff>
    </xdr:from>
    <xdr:to>
      <xdr:col>6</xdr:col>
      <xdr:colOff>362403</xdr:colOff>
      <xdr:row>1</xdr:row>
      <xdr:rowOff>115455</xdr:rowOff>
    </xdr:to>
    <xdr:sp macro="" textlink="">
      <xdr:nvSpPr>
        <xdr:cNvPr id="59393" name="CommandButton1" hidden="1">
          <a:extLst>
            <a:ext uri="{63B3BB69-23CF-44E3-9099-C40C66FF867C}">
              <a14:compatExt xmlns:a14="http://schemas.microsoft.com/office/drawing/2010/main" spid="_x0000_s59393"/>
            </a:ext>
            <a:ext uri="{FF2B5EF4-FFF2-40B4-BE49-F238E27FC236}">
              <a16:creationId xmlns:a16="http://schemas.microsoft.com/office/drawing/2014/main" id="{00000000-0008-0000-1100-000001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fPrintsWithSheet="0"/>
  </xdr:twoCellAnchor>
  <xdr:twoCellAnchor editAs="absolute">
    <xdr:from>
      <xdr:col>4</xdr:col>
      <xdr:colOff>419554</xdr:colOff>
      <xdr:row>0</xdr:row>
      <xdr:rowOff>133350</xdr:rowOff>
    </xdr:from>
    <xdr:to>
      <xdr:col>6</xdr:col>
      <xdr:colOff>314778</xdr:colOff>
      <xdr:row>2</xdr:row>
      <xdr:rowOff>93517</xdr:rowOff>
    </xdr:to>
    <xdr:sp macro="[0]!Sheet8.hideUnhide" textlink="">
      <xdr:nvSpPr>
        <xdr:cNvPr id="4" name="HideButton">
          <a:extLst>
            <a:ext uri="{FF2B5EF4-FFF2-40B4-BE49-F238E27FC236}">
              <a16:creationId xmlns:a16="http://schemas.microsoft.com/office/drawing/2014/main" id="{00000000-0008-0000-1100-000004000000}"/>
            </a:ext>
          </a:extLst>
        </xdr:cNvPr>
        <xdr:cNvSpPr/>
      </xdr:nvSpPr>
      <xdr:spPr>
        <a:xfrm>
          <a:off x="9086850" y="133350"/>
          <a:ext cx="1695450" cy="276224"/>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Unhide Unused Rows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6</xdr:col>
      <xdr:colOff>2271346</xdr:colOff>
      <xdr:row>27</xdr:row>
      <xdr:rowOff>0</xdr:rowOff>
    </xdr:from>
    <xdr:ext cx="184731" cy="264560"/>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11576538" y="1216269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1995489</xdr:colOff>
      <xdr:row>22</xdr:row>
      <xdr:rowOff>47625</xdr:rowOff>
    </xdr:from>
    <xdr:to>
      <xdr:col>1</xdr:col>
      <xdr:colOff>2190751</xdr:colOff>
      <xdr:row>24</xdr:row>
      <xdr:rowOff>52388</xdr:rowOff>
    </xdr:to>
    <xdr:sp macro="" textlink="">
      <xdr:nvSpPr>
        <xdr:cNvPr id="4" name="Down Arrow 3">
          <a:extLst>
            <a:ext uri="{FF2B5EF4-FFF2-40B4-BE49-F238E27FC236}">
              <a16:creationId xmlns:a16="http://schemas.microsoft.com/office/drawing/2014/main" id="{00000000-0008-0000-0800-000004000000}"/>
            </a:ext>
          </a:extLst>
        </xdr:cNvPr>
        <xdr:cNvSpPr/>
      </xdr:nvSpPr>
      <xdr:spPr>
        <a:xfrm>
          <a:off x="2157414" y="5105400"/>
          <a:ext cx="195262" cy="328613"/>
        </a:xfrm>
        <a:prstGeom prst="down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oneCellAnchor>
    <xdr:from>
      <xdr:col>1</xdr:col>
      <xdr:colOff>1076324</xdr:colOff>
      <xdr:row>21</xdr:row>
      <xdr:rowOff>109538</xdr:rowOff>
    </xdr:from>
    <xdr:ext cx="2403671" cy="25455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38249" y="5005388"/>
          <a:ext cx="2403671" cy="254557"/>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bg1"/>
              </a:solidFill>
            </a:rPr>
            <a:t>Click on the </a:t>
          </a:r>
          <a:r>
            <a:rPr lang="en-US" sz="1100" b="1">
              <a:solidFill>
                <a:schemeClr val="bg1"/>
              </a:solidFill>
            </a:rPr>
            <a:t>Input</a:t>
          </a:r>
          <a:r>
            <a:rPr lang="en-US" sz="1100">
              <a:solidFill>
                <a:schemeClr val="bg1"/>
              </a:solidFill>
            </a:rPr>
            <a:t> tab to get started</a:t>
          </a:r>
        </a:p>
      </xdr:txBody>
    </xdr:sp>
    <xdr:clientData/>
  </xdr:oneCellAnchor>
  <xdr:twoCellAnchor>
    <xdr:from>
      <xdr:col>1</xdr:col>
      <xdr:colOff>600075</xdr:colOff>
      <xdr:row>5</xdr:row>
      <xdr:rowOff>0</xdr:rowOff>
    </xdr:from>
    <xdr:to>
      <xdr:col>3</xdr:col>
      <xdr:colOff>1650620</xdr:colOff>
      <xdr:row>13</xdr:row>
      <xdr:rowOff>119521</xdr:rowOff>
    </xdr:to>
    <xdr:grpSp>
      <xdr:nvGrpSpPr>
        <xdr:cNvPr id="2" name="Group 1">
          <a:extLst>
            <a:ext uri="{FF2B5EF4-FFF2-40B4-BE49-F238E27FC236}">
              <a16:creationId xmlns:a16="http://schemas.microsoft.com/office/drawing/2014/main" id="{4391C88C-B6E5-45C1-A2EC-10225BD7F45F}"/>
            </a:ext>
          </a:extLst>
        </xdr:cNvPr>
        <xdr:cNvGrpSpPr/>
      </xdr:nvGrpSpPr>
      <xdr:grpSpPr>
        <a:xfrm>
          <a:off x="762000" y="866775"/>
          <a:ext cx="7222745" cy="1586371"/>
          <a:chOff x="10467975" y="2333625"/>
          <a:chExt cx="7651370" cy="1586371"/>
        </a:xfrm>
      </xdr:grpSpPr>
      <xdr:grpSp>
        <xdr:nvGrpSpPr>
          <xdr:cNvPr id="6" name="Group 5">
            <a:extLst>
              <a:ext uri="{FF2B5EF4-FFF2-40B4-BE49-F238E27FC236}">
                <a16:creationId xmlns:a16="http://schemas.microsoft.com/office/drawing/2014/main" id="{232CB5FF-3F37-4650-8AA7-350D4785B70C}"/>
              </a:ext>
            </a:extLst>
          </xdr:cNvPr>
          <xdr:cNvGrpSpPr/>
        </xdr:nvGrpSpPr>
        <xdr:grpSpPr>
          <a:xfrm>
            <a:off x="10467975" y="2333625"/>
            <a:ext cx="1471417" cy="1586371"/>
            <a:chOff x="3365" y="4533"/>
            <a:chExt cx="1471417" cy="1586371"/>
          </a:xfrm>
        </xdr:grpSpPr>
        <xdr:sp macro="" textlink="">
          <xdr:nvSpPr>
            <xdr:cNvPr id="25" name="Rectangle: Rounded Corners 24">
              <a:extLst>
                <a:ext uri="{FF2B5EF4-FFF2-40B4-BE49-F238E27FC236}">
                  <a16:creationId xmlns:a16="http://schemas.microsoft.com/office/drawing/2014/main" id="{1D779CD3-E68E-40A7-B903-12108126758F}"/>
                </a:ext>
              </a:extLst>
            </xdr:cNvPr>
            <xdr:cNvSpPr/>
          </xdr:nvSpPr>
          <xdr:spPr>
            <a:xfrm>
              <a:off x="3365" y="4533"/>
              <a:ext cx="1471417" cy="1586371"/>
            </a:xfrm>
            <a:prstGeom prst="roundRect">
              <a:avLst>
                <a:gd name="adj" fmla="val 10000"/>
              </a:avLst>
            </a:prstGeom>
          </xdr:spPr>
          <xdr:style>
            <a:lnRef idx="2">
              <a:schemeClr val="lt1">
                <a:hueOff val="0"/>
                <a:satOff val="0"/>
                <a:lumOff val="0"/>
                <a:alphaOff val="0"/>
              </a:schemeClr>
            </a:lnRef>
            <a:fillRef idx="1">
              <a:schemeClr val="accent3">
                <a:hueOff val="0"/>
                <a:satOff val="0"/>
                <a:lumOff val="0"/>
                <a:alphaOff val="0"/>
              </a:schemeClr>
            </a:fillRef>
            <a:effectRef idx="0">
              <a:schemeClr val="accent3">
                <a:hueOff val="0"/>
                <a:satOff val="0"/>
                <a:lumOff val="0"/>
                <a:alphaOff val="0"/>
              </a:schemeClr>
            </a:effectRef>
            <a:fontRef idx="minor">
              <a:schemeClr val="lt1"/>
            </a:fontRef>
          </xdr:style>
        </xdr:sp>
        <xdr:sp macro="" textlink="">
          <xdr:nvSpPr>
            <xdr:cNvPr id="26" name="Rectangle: Rounded Corners 4">
              <a:extLst>
                <a:ext uri="{FF2B5EF4-FFF2-40B4-BE49-F238E27FC236}">
                  <a16:creationId xmlns:a16="http://schemas.microsoft.com/office/drawing/2014/main" id="{3F97EDE7-01C6-42CA-8F0D-BCF5F96A606A}"/>
                </a:ext>
              </a:extLst>
            </xdr:cNvPr>
            <xdr:cNvSpPr txBox="1"/>
          </xdr:nvSpPr>
          <xdr:spPr>
            <a:xfrm>
              <a:off x="46461"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Fill in your input data in the cells highlighted in yellow on the various worksheets. </a:t>
              </a:r>
            </a:p>
          </xdr:txBody>
        </xdr:sp>
      </xdr:grpSp>
      <xdr:grpSp>
        <xdr:nvGrpSpPr>
          <xdr:cNvPr id="7" name="Group 6">
            <a:extLst>
              <a:ext uri="{FF2B5EF4-FFF2-40B4-BE49-F238E27FC236}">
                <a16:creationId xmlns:a16="http://schemas.microsoft.com/office/drawing/2014/main" id="{CFB302FC-7982-4009-B453-7107CA9794B3}"/>
              </a:ext>
            </a:extLst>
          </xdr:cNvPr>
          <xdr:cNvGrpSpPr/>
        </xdr:nvGrpSpPr>
        <xdr:grpSpPr>
          <a:xfrm>
            <a:off x="12086534" y="2944355"/>
            <a:ext cx="311940" cy="364911"/>
            <a:chOff x="1621924" y="615263"/>
            <a:chExt cx="311940" cy="364911"/>
          </a:xfrm>
        </xdr:grpSpPr>
        <xdr:sp macro="" textlink="">
          <xdr:nvSpPr>
            <xdr:cNvPr id="23" name="Arrow: Right 22">
              <a:extLst>
                <a:ext uri="{FF2B5EF4-FFF2-40B4-BE49-F238E27FC236}">
                  <a16:creationId xmlns:a16="http://schemas.microsoft.com/office/drawing/2014/main" id="{3A740A5E-28FD-482D-9AFF-7E3BA7C6FA39}"/>
                </a:ext>
              </a:extLst>
            </xdr:cNvPr>
            <xdr:cNvSpPr/>
          </xdr:nvSpPr>
          <xdr:spPr>
            <a:xfrm>
              <a:off x="1621924" y="615263"/>
              <a:ext cx="311940" cy="364911"/>
            </a:xfrm>
            <a:prstGeom prst="rightArrow">
              <a:avLst>
                <a:gd name="adj1" fmla="val 60000"/>
                <a:gd name="adj2" fmla="val 50000"/>
              </a:avLst>
            </a:prstGeom>
          </xdr:spPr>
          <xdr:style>
            <a:lnRef idx="0">
              <a:schemeClr val="lt1">
                <a:hueOff val="0"/>
                <a:satOff val="0"/>
                <a:lumOff val="0"/>
                <a:alphaOff val="0"/>
              </a:schemeClr>
            </a:lnRef>
            <a:fillRef idx="1">
              <a:schemeClr val="accent3">
                <a:hueOff val="0"/>
                <a:satOff val="0"/>
                <a:lumOff val="0"/>
                <a:alphaOff val="0"/>
              </a:schemeClr>
            </a:fillRef>
            <a:effectRef idx="0">
              <a:schemeClr val="accent3">
                <a:hueOff val="0"/>
                <a:satOff val="0"/>
                <a:lumOff val="0"/>
                <a:alphaOff val="0"/>
              </a:schemeClr>
            </a:effectRef>
            <a:fontRef idx="minor">
              <a:schemeClr val="lt1"/>
            </a:fontRef>
          </xdr:style>
        </xdr:sp>
        <xdr:sp macro="" textlink="">
          <xdr:nvSpPr>
            <xdr:cNvPr id="24" name="Arrow: Right 6">
              <a:extLst>
                <a:ext uri="{FF2B5EF4-FFF2-40B4-BE49-F238E27FC236}">
                  <a16:creationId xmlns:a16="http://schemas.microsoft.com/office/drawing/2014/main" id="{C5C122F1-7427-4D7E-A996-3A6319EBAF56}"/>
                </a:ext>
              </a:extLst>
            </xdr:cNvPr>
            <xdr:cNvSpPr txBox="1"/>
          </xdr:nvSpPr>
          <xdr:spPr>
            <a:xfrm>
              <a:off x="1621924" y="688245"/>
              <a:ext cx="218358" cy="21894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grpSp>
      <xdr:grpSp>
        <xdr:nvGrpSpPr>
          <xdr:cNvPr id="8" name="Group 7">
            <a:extLst>
              <a:ext uri="{FF2B5EF4-FFF2-40B4-BE49-F238E27FC236}">
                <a16:creationId xmlns:a16="http://schemas.microsoft.com/office/drawing/2014/main" id="{540A9F30-5184-434C-A7A4-06A660655C42}"/>
              </a:ext>
            </a:extLst>
          </xdr:cNvPr>
          <xdr:cNvGrpSpPr/>
        </xdr:nvGrpSpPr>
        <xdr:grpSpPr>
          <a:xfrm>
            <a:off x="12527959" y="2333625"/>
            <a:ext cx="1471417" cy="1586371"/>
            <a:chOff x="2063349" y="4533"/>
            <a:chExt cx="1471417" cy="1586371"/>
          </a:xfrm>
        </xdr:grpSpPr>
        <xdr:sp macro="" textlink="">
          <xdr:nvSpPr>
            <xdr:cNvPr id="21" name="Rectangle: Rounded Corners 20">
              <a:extLst>
                <a:ext uri="{FF2B5EF4-FFF2-40B4-BE49-F238E27FC236}">
                  <a16:creationId xmlns:a16="http://schemas.microsoft.com/office/drawing/2014/main" id="{A4456BF2-519C-4926-8545-34BF3F72C5D7}"/>
                </a:ext>
              </a:extLst>
            </xdr:cNvPr>
            <xdr:cNvSpPr/>
          </xdr:nvSpPr>
          <xdr:spPr>
            <a:xfrm>
              <a:off x="2063349" y="4533"/>
              <a:ext cx="1471417" cy="1586371"/>
            </a:xfrm>
            <a:prstGeom prst="roundRect">
              <a:avLst>
                <a:gd name="adj" fmla="val 10000"/>
              </a:avLst>
            </a:prstGeom>
          </xdr:spPr>
          <xdr:style>
            <a:lnRef idx="2">
              <a:schemeClr val="lt1">
                <a:hueOff val="0"/>
                <a:satOff val="0"/>
                <a:lumOff val="0"/>
                <a:alphaOff val="0"/>
              </a:schemeClr>
            </a:lnRef>
            <a:fillRef idx="1">
              <a:schemeClr val="accent3">
                <a:hueOff val="3853398"/>
                <a:satOff val="-15061"/>
                <a:lumOff val="-261"/>
                <a:alphaOff val="0"/>
              </a:schemeClr>
            </a:fillRef>
            <a:effectRef idx="0">
              <a:schemeClr val="accent3">
                <a:hueOff val="3853398"/>
                <a:satOff val="-15061"/>
                <a:lumOff val="-261"/>
                <a:alphaOff val="0"/>
              </a:schemeClr>
            </a:effectRef>
            <a:fontRef idx="minor">
              <a:schemeClr val="lt1"/>
            </a:fontRef>
          </xdr:style>
        </xdr:sp>
        <xdr:sp macro="" textlink="">
          <xdr:nvSpPr>
            <xdr:cNvPr id="22" name="Rectangle: Rounded Corners 8">
              <a:extLst>
                <a:ext uri="{FF2B5EF4-FFF2-40B4-BE49-F238E27FC236}">
                  <a16:creationId xmlns:a16="http://schemas.microsoft.com/office/drawing/2014/main" id="{A2DBDF12-9482-4371-B0C5-53B411556028}"/>
                </a:ext>
              </a:extLst>
            </xdr:cNvPr>
            <xdr:cNvSpPr txBox="1"/>
          </xdr:nvSpPr>
          <xdr:spPr>
            <a:xfrm>
              <a:off x="2106445"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Review the formatted output represented on each of the Green &amp; Blue tabs.</a:t>
              </a:r>
            </a:p>
          </xdr:txBody>
        </xdr:sp>
      </xdr:grpSp>
      <xdr:grpSp>
        <xdr:nvGrpSpPr>
          <xdr:cNvPr id="9" name="Group 8">
            <a:extLst>
              <a:ext uri="{FF2B5EF4-FFF2-40B4-BE49-F238E27FC236}">
                <a16:creationId xmlns:a16="http://schemas.microsoft.com/office/drawing/2014/main" id="{84B6A70A-FEA0-4BEF-9B10-8763883E57FE}"/>
              </a:ext>
            </a:extLst>
          </xdr:cNvPr>
          <xdr:cNvGrpSpPr/>
        </xdr:nvGrpSpPr>
        <xdr:grpSpPr>
          <a:xfrm>
            <a:off x="14146518" y="2944355"/>
            <a:ext cx="311940" cy="364911"/>
            <a:chOff x="3681908" y="615263"/>
            <a:chExt cx="311940" cy="364911"/>
          </a:xfrm>
        </xdr:grpSpPr>
        <xdr:sp macro="" textlink="">
          <xdr:nvSpPr>
            <xdr:cNvPr id="19" name="Arrow: Right 18">
              <a:extLst>
                <a:ext uri="{FF2B5EF4-FFF2-40B4-BE49-F238E27FC236}">
                  <a16:creationId xmlns:a16="http://schemas.microsoft.com/office/drawing/2014/main" id="{75990467-99F9-4484-8F05-0E0259E42956}"/>
                </a:ext>
              </a:extLst>
            </xdr:cNvPr>
            <xdr:cNvSpPr/>
          </xdr:nvSpPr>
          <xdr:spPr>
            <a:xfrm>
              <a:off x="3681908" y="615263"/>
              <a:ext cx="311940" cy="364911"/>
            </a:xfrm>
            <a:prstGeom prst="rightArrow">
              <a:avLst>
                <a:gd name="adj1" fmla="val 60000"/>
                <a:gd name="adj2" fmla="val 50000"/>
              </a:avLst>
            </a:prstGeom>
          </xdr:spPr>
          <xdr:style>
            <a:lnRef idx="0">
              <a:schemeClr val="lt1">
                <a:hueOff val="0"/>
                <a:satOff val="0"/>
                <a:lumOff val="0"/>
                <a:alphaOff val="0"/>
              </a:schemeClr>
            </a:lnRef>
            <a:fillRef idx="1">
              <a:schemeClr val="accent3">
                <a:hueOff val="5780096"/>
                <a:satOff val="-22591"/>
                <a:lumOff val="-391"/>
                <a:alphaOff val="0"/>
              </a:schemeClr>
            </a:fillRef>
            <a:effectRef idx="0">
              <a:schemeClr val="accent3">
                <a:hueOff val="5780096"/>
                <a:satOff val="-22591"/>
                <a:lumOff val="-391"/>
                <a:alphaOff val="0"/>
              </a:schemeClr>
            </a:effectRef>
            <a:fontRef idx="minor">
              <a:schemeClr val="lt1"/>
            </a:fontRef>
          </xdr:style>
        </xdr:sp>
        <xdr:sp macro="" textlink="">
          <xdr:nvSpPr>
            <xdr:cNvPr id="20" name="Arrow: Right 10">
              <a:extLst>
                <a:ext uri="{FF2B5EF4-FFF2-40B4-BE49-F238E27FC236}">
                  <a16:creationId xmlns:a16="http://schemas.microsoft.com/office/drawing/2014/main" id="{60AF8BF5-8511-4B18-B0C2-9B63209B89BC}"/>
                </a:ext>
              </a:extLst>
            </xdr:cNvPr>
            <xdr:cNvSpPr txBox="1"/>
          </xdr:nvSpPr>
          <xdr:spPr>
            <a:xfrm>
              <a:off x="3681908" y="688245"/>
              <a:ext cx="218358" cy="21894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grpSp>
      <xdr:grpSp>
        <xdr:nvGrpSpPr>
          <xdr:cNvPr id="10" name="Group 9">
            <a:extLst>
              <a:ext uri="{FF2B5EF4-FFF2-40B4-BE49-F238E27FC236}">
                <a16:creationId xmlns:a16="http://schemas.microsoft.com/office/drawing/2014/main" id="{E613A5ED-32F6-41E8-9049-97A8BC3E7EE1}"/>
              </a:ext>
            </a:extLst>
          </xdr:cNvPr>
          <xdr:cNvGrpSpPr/>
        </xdr:nvGrpSpPr>
        <xdr:grpSpPr>
          <a:xfrm>
            <a:off x="14587943" y="2333625"/>
            <a:ext cx="1471417" cy="1586371"/>
            <a:chOff x="4123333" y="4533"/>
            <a:chExt cx="1471417" cy="1586371"/>
          </a:xfrm>
        </xdr:grpSpPr>
        <xdr:sp macro="" textlink="">
          <xdr:nvSpPr>
            <xdr:cNvPr id="17" name="Rectangle: Rounded Corners 16">
              <a:extLst>
                <a:ext uri="{FF2B5EF4-FFF2-40B4-BE49-F238E27FC236}">
                  <a16:creationId xmlns:a16="http://schemas.microsoft.com/office/drawing/2014/main" id="{E24906E5-C74B-4B36-ADAA-7668C9F5CE61}"/>
                </a:ext>
              </a:extLst>
            </xdr:cNvPr>
            <xdr:cNvSpPr/>
          </xdr:nvSpPr>
          <xdr:spPr>
            <a:xfrm>
              <a:off x="4123333" y="4533"/>
              <a:ext cx="1471417" cy="1586371"/>
            </a:xfrm>
            <a:prstGeom prst="roundRect">
              <a:avLst>
                <a:gd name="adj" fmla="val 10000"/>
              </a:avLst>
            </a:prstGeom>
          </xdr:spPr>
          <xdr:style>
            <a:lnRef idx="2">
              <a:schemeClr val="lt1">
                <a:hueOff val="0"/>
                <a:satOff val="0"/>
                <a:lumOff val="0"/>
                <a:alphaOff val="0"/>
              </a:schemeClr>
            </a:lnRef>
            <a:fillRef idx="1">
              <a:schemeClr val="accent3">
                <a:hueOff val="7706796"/>
                <a:satOff val="-30121"/>
                <a:lumOff val="-522"/>
                <a:alphaOff val="0"/>
              </a:schemeClr>
            </a:fillRef>
            <a:effectRef idx="0">
              <a:schemeClr val="accent3">
                <a:hueOff val="7706796"/>
                <a:satOff val="-30121"/>
                <a:lumOff val="-522"/>
                <a:alphaOff val="0"/>
              </a:schemeClr>
            </a:effectRef>
            <a:fontRef idx="minor">
              <a:schemeClr val="lt1"/>
            </a:fontRef>
          </xdr:style>
        </xdr:sp>
        <xdr:sp macro="" textlink="">
          <xdr:nvSpPr>
            <xdr:cNvPr id="18" name="Rectangle: Rounded Corners 12">
              <a:extLst>
                <a:ext uri="{FF2B5EF4-FFF2-40B4-BE49-F238E27FC236}">
                  <a16:creationId xmlns:a16="http://schemas.microsoft.com/office/drawing/2014/main" id="{BFAFF007-E76E-45FE-99B4-9C2204F3BA81}"/>
                </a:ext>
              </a:extLst>
            </xdr:cNvPr>
            <xdr:cNvSpPr txBox="1"/>
          </xdr:nvSpPr>
          <xdr:spPr>
            <a:xfrm>
              <a:off x="4166429"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Save the workbook on your local computer or network drive.</a:t>
              </a:r>
            </a:p>
          </xdr:txBody>
        </xdr:sp>
      </xdr:grpSp>
      <xdr:grpSp>
        <xdr:nvGrpSpPr>
          <xdr:cNvPr id="11" name="Group 10">
            <a:extLst>
              <a:ext uri="{FF2B5EF4-FFF2-40B4-BE49-F238E27FC236}">
                <a16:creationId xmlns:a16="http://schemas.microsoft.com/office/drawing/2014/main" id="{F1FE856D-9177-4C84-A4F8-E61BE6684FDC}"/>
              </a:ext>
            </a:extLst>
          </xdr:cNvPr>
          <xdr:cNvGrpSpPr/>
        </xdr:nvGrpSpPr>
        <xdr:grpSpPr>
          <a:xfrm>
            <a:off x="16206503" y="2944355"/>
            <a:ext cx="311940" cy="364911"/>
            <a:chOff x="5741893" y="615263"/>
            <a:chExt cx="311940" cy="364911"/>
          </a:xfrm>
        </xdr:grpSpPr>
        <xdr:sp macro="" textlink="">
          <xdr:nvSpPr>
            <xdr:cNvPr id="15" name="Arrow: Right 14">
              <a:extLst>
                <a:ext uri="{FF2B5EF4-FFF2-40B4-BE49-F238E27FC236}">
                  <a16:creationId xmlns:a16="http://schemas.microsoft.com/office/drawing/2014/main" id="{529B5990-2F98-4F42-8CCC-15EE461DB8EE}"/>
                </a:ext>
              </a:extLst>
            </xdr:cNvPr>
            <xdr:cNvSpPr/>
          </xdr:nvSpPr>
          <xdr:spPr>
            <a:xfrm>
              <a:off x="5741893" y="615263"/>
              <a:ext cx="311940" cy="364911"/>
            </a:xfrm>
            <a:prstGeom prst="rightArrow">
              <a:avLst>
                <a:gd name="adj1" fmla="val 60000"/>
                <a:gd name="adj2" fmla="val 50000"/>
              </a:avLst>
            </a:prstGeom>
          </xdr:spPr>
          <xdr:style>
            <a:lnRef idx="0">
              <a:schemeClr val="lt1">
                <a:hueOff val="0"/>
                <a:satOff val="0"/>
                <a:lumOff val="0"/>
                <a:alphaOff val="0"/>
              </a:schemeClr>
            </a:lnRef>
            <a:fillRef idx="1">
              <a:schemeClr val="accent3">
                <a:hueOff val="11560193"/>
                <a:satOff val="-45182"/>
                <a:lumOff val="-783"/>
                <a:alphaOff val="0"/>
              </a:schemeClr>
            </a:fillRef>
            <a:effectRef idx="0">
              <a:schemeClr val="accent3">
                <a:hueOff val="11560193"/>
                <a:satOff val="-45182"/>
                <a:lumOff val="-783"/>
                <a:alphaOff val="0"/>
              </a:schemeClr>
            </a:effectRef>
            <a:fontRef idx="minor">
              <a:schemeClr val="lt1"/>
            </a:fontRef>
          </xdr:style>
        </xdr:sp>
        <xdr:sp macro="" textlink="">
          <xdr:nvSpPr>
            <xdr:cNvPr id="16" name="Arrow: Right 14">
              <a:extLst>
                <a:ext uri="{FF2B5EF4-FFF2-40B4-BE49-F238E27FC236}">
                  <a16:creationId xmlns:a16="http://schemas.microsoft.com/office/drawing/2014/main" id="{C971B9F9-4DE6-4AFA-9C95-ACD150E339F2}"/>
                </a:ext>
              </a:extLst>
            </xdr:cNvPr>
            <xdr:cNvSpPr txBox="1"/>
          </xdr:nvSpPr>
          <xdr:spPr>
            <a:xfrm>
              <a:off x="5741893" y="688245"/>
              <a:ext cx="218358" cy="21894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grpSp>
      <xdr:grpSp>
        <xdr:nvGrpSpPr>
          <xdr:cNvPr id="12" name="Group 11">
            <a:extLst>
              <a:ext uri="{FF2B5EF4-FFF2-40B4-BE49-F238E27FC236}">
                <a16:creationId xmlns:a16="http://schemas.microsoft.com/office/drawing/2014/main" id="{F551A338-6C27-4362-9B75-56CA5A3B510C}"/>
              </a:ext>
            </a:extLst>
          </xdr:cNvPr>
          <xdr:cNvGrpSpPr/>
        </xdr:nvGrpSpPr>
        <xdr:grpSpPr>
          <a:xfrm>
            <a:off x="16647928" y="2333625"/>
            <a:ext cx="1471417" cy="1586371"/>
            <a:chOff x="6183318" y="4533"/>
            <a:chExt cx="1471417" cy="1586371"/>
          </a:xfrm>
        </xdr:grpSpPr>
        <xdr:sp macro="" textlink="">
          <xdr:nvSpPr>
            <xdr:cNvPr id="13" name="Rectangle: Rounded Corners 12">
              <a:extLst>
                <a:ext uri="{FF2B5EF4-FFF2-40B4-BE49-F238E27FC236}">
                  <a16:creationId xmlns:a16="http://schemas.microsoft.com/office/drawing/2014/main" id="{4D4FAFD9-9E9C-4CBD-8C84-FC994B6B5893}"/>
                </a:ext>
              </a:extLst>
            </xdr:cNvPr>
            <xdr:cNvSpPr/>
          </xdr:nvSpPr>
          <xdr:spPr>
            <a:xfrm>
              <a:off x="6183318" y="4533"/>
              <a:ext cx="1471417" cy="1586371"/>
            </a:xfrm>
            <a:prstGeom prst="roundRect">
              <a:avLst>
                <a:gd name="adj" fmla="val 10000"/>
              </a:avLst>
            </a:prstGeom>
          </xdr:spPr>
          <xdr:style>
            <a:lnRef idx="2">
              <a:schemeClr val="lt1">
                <a:hueOff val="0"/>
                <a:satOff val="0"/>
                <a:lumOff val="0"/>
                <a:alphaOff val="0"/>
              </a:schemeClr>
            </a:lnRef>
            <a:fillRef idx="1">
              <a:schemeClr val="accent3">
                <a:hueOff val="11560193"/>
                <a:satOff val="-45182"/>
                <a:lumOff val="-783"/>
                <a:alphaOff val="0"/>
              </a:schemeClr>
            </a:fillRef>
            <a:effectRef idx="0">
              <a:schemeClr val="accent3">
                <a:hueOff val="11560193"/>
                <a:satOff val="-45182"/>
                <a:lumOff val="-783"/>
                <a:alphaOff val="0"/>
              </a:schemeClr>
            </a:effectRef>
            <a:fontRef idx="minor">
              <a:schemeClr val="lt1"/>
            </a:fontRef>
          </xdr:style>
        </xdr:sp>
        <xdr:sp macro="" textlink="">
          <xdr:nvSpPr>
            <xdr:cNvPr id="14" name="Rectangle: Rounded Corners 16">
              <a:extLst>
                <a:ext uri="{FF2B5EF4-FFF2-40B4-BE49-F238E27FC236}">
                  <a16:creationId xmlns:a16="http://schemas.microsoft.com/office/drawing/2014/main" id="{0EDAE8F5-2CF3-4741-880B-72FC937945FE}"/>
                </a:ext>
              </a:extLst>
            </xdr:cNvPr>
            <xdr:cNvSpPr txBox="1"/>
          </xdr:nvSpPr>
          <xdr:spPr>
            <a:xfrm>
              <a:off x="6226414"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Print model using</a:t>
              </a:r>
              <a:r>
                <a:rPr lang="en-US" sz="1500" kern="1200" baseline="0"/>
                <a:t> Microsoft Print to PDF and upload PDF into MNet Launch</a:t>
              </a:r>
              <a:endParaRPr lang="en-US" sz="1500" kern="1200"/>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419100</xdr:colOff>
      <xdr:row>6</xdr:row>
      <xdr:rowOff>152400</xdr:rowOff>
    </xdr:from>
    <xdr:to>
      <xdr:col>8</xdr:col>
      <xdr:colOff>117870</xdr:colOff>
      <xdr:row>8</xdr:row>
      <xdr:rowOff>41672</xdr:rowOff>
    </xdr:to>
    <xdr:sp macro="" textlink="">
      <xdr:nvSpPr>
        <xdr:cNvPr id="1034" name="CheckBox1" hidden="1">
          <a:extLst>
            <a:ext uri="{FF2B5EF4-FFF2-40B4-BE49-F238E27FC236}">
              <a16:creationId xmlns:a16="http://schemas.microsoft.com/office/drawing/2014/main" id="{00000000-0008-0000-0900-00000A040000}"/>
            </a:ext>
          </a:extLst>
        </xdr:cNvPr>
        <xdr:cNvSpPr>
          <a:spLocks noChangeArrowheads="1"/>
        </xdr:cNvSpPr>
      </xdr:nvSpPr>
      <xdr:spPr bwMode="auto">
        <a:xfrm>
          <a:off x="7753350" y="590550"/>
          <a:ext cx="27432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486833</xdr:colOff>
      <xdr:row>13</xdr:row>
      <xdr:rowOff>86966</xdr:rowOff>
    </xdr:from>
    <xdr:to>
      <xdr:col>10</xdr:col>
      <xdr:colOff>300225</xdr:colOff>
      <xdr:row>19</xdr:row>
      <xdr:rowOff>149174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5574304" y="2283319"/>
          <a:ext cx="5337667" cy="1205208"/>
        </a:xfrm>
        <a:prstGeom prst="rect">
          <a:avLst/>
        </a:prstGeom>
      </xdr:spPr>
    </xdr:pic>
    <xdr:clientData fPrintsWithSheet="0"/>
  </xdr:twoCellAnchor>
  <xdr:oneCellAnchor>
    <xdr:from>
      <xdr:col>4</xdr:col>
      <xdr:colOff>419100</xdr:colOff>
      <xdr:row>14</xdr:row>
      <xdr:rowOff>152400</xdr:rowOff>
    </xdr:from>
    <xdr:ext cx="2749022" cy="276225"/>
    <xdr:sp macro="" textlink="">
      <xdr:nvSpPr>
        <xdr:cNvPr id="5" name="CheckBox1" hidden="1">
          <a:extLst>
            <a:ext uri="{FF2B5EF4-FFF2-40B4-BE49-F238E27FC236}">
              <a16:creationId xmlns:a16="http://schemas.microsoft.com/office/drawing/2014/main" id="{00000000-0008-0000-0900-000005000000}"/>
            </a:ext>
          </a:extLst>
        </xdr:cNvPr>
        <xdr:cNvSpPr>
          <a:spLocks noChangeArrowheads="1"/>
        </xdr:cNvSpPr>
      </xdr:nvSpPr>
      <xdr:spPr bwMode="auto">
        <a:xfrm>
          <a:off x="6300788" y="1271588"/>
          <a:ext cx="2749022"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419100</xdr:colOff>
      <xdr:row>6</xdr:row>
      <xdr:rowOff>152400</xdr:rowOff>
    </xdr:from>
    <xdr:ext cx="2749022" cy="276225"/>
    <xdr:sp macro="" textlink="">
      <xdr:nvSpPr>
        <xdr:cNvPr id="7" name="CheckBox1" hidden="1">
          <a:extLst>
            <a:ext uri="{FF2B5EF4-FFF2-40B4-BE49-F238E27FC236}">
              <a16:creationId xmlns:a16="http://schemas.microsoft.com/office/drawing/2014/main" id="{00000000-0008-0000-0900-000007000000}"/>
            </a:ext>
          </a:extLst>
        </xdr:cNvPr>
        <xdr:cNvSpPr>
          <a:spLocks noChangeArrowheads="1"/>
        </xdr:cNvSpPr>
      </xdr:nvSpPr>
      <xdr:spPr bwMode="auto">
        <a:xfrm>
          <a:off x="6300788" y="1271588"/>
          <a:ext cx="2749022"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419100</xdr:colOff>
      <xdr:row>6</xdr:row>
      <xdr:rowOff>152400</xdr:rowOff>
    </xdr:from>
    <xdr:ext cx="2749022" cy="276225"/>
    <xdr:sp macro="" textlink="">
      <xdr:nvSpPr>
        <xdr:cNvPr id="8" name="CheckBox1" hidden="1">
          <a:extLst>
            <a:ext uri="{FF2B5EF4-FFF2-40B4-BE49-F238E27FC236}">
              <a16:creationId xmlns:a16="http://schemas.microsoft.com/office/drawing/2014/main" id="{00000000-0008-0000-0900-000008000000}"/>
            </a:ext>
          </a:extLst>
        </xdr:cNvPr>
        <xdr:cNvSpPr>
          <a:spLocks noChangeArrowheads="1"/>
        </xdr:cNvSpPr>
      </xdr:nvSpPr>
      <xdr:spPr bwMode="auto">
        <a:xfrm>
          <a:off x="6300788" y="1271588"/>
          <a:ext cx="2749022"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absolute">
    <xdr:from>
      <xdr:col>3</xdr:col>
      <xdr:colOff>34858</xdr:colOff>
      <xdr:row>7</xdr:row>
      <xdr:rowOff>155291</xdr:rowOff>
    </xdr:from>
    <xdr:to>
      <xdr:col>5</xdr:col>
      <xdr:colOff>148238</xdr:colOff>
      <xdr:row>9</xdr:row>
      <xdr:rowOff>71471</xdr:rowOff>
    </xdr:to>
    <xdr:sp macro="[0]!loadDefaults" textlink="">
      <xdr:nvSpPr>
        <xdr:cNvPr id="3" name="ResetButton">
          <a:extLst>
            <a:ext uri="{FF2B5EF4-FFF2-40B4-BE49-F238E27FC236}">
              <a16:creationId xmlns:a16="http://schemas.microsoft.com/office/drawing/2014/main" id="{00000000-0008-0000-0900-000003000000}"/>
            </a:ext>
          </a:extLst>
        </xdr:cNvPr>
        <xdr:cNvSpPr>
          <a:spLocks noChangeAspect="1"/>
        </xdr:cNvSpPr>
      </xdr:nvSpPr>
      <xdr:spPr>
        <a:xfrm>
          <a:off x="5122329" y="877174"/>
          <a:ext cx="1835275" cy="2857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Reset All Data</a:t>
          </a:r>
        </a:p>
      </xdr:txBody>
    </xdr:sp>
    <xdr:clientData/>
  </xdr:twoCellAnchor>
  <xdr:twoCellAnchor editAs="absolute">
    <xdr:from>
      <xdr:col>3</xdr:col>
      <xdr:colOff>36974</xdr:colOff>
      <xdr:row>10</xdr:row>
      <xdr:rowOff>155292</xdr:rowOff>
    </xdr:from>
    <xdr:to>
      <xdr:col>5</xdr:col>
      <xdr:colOff>148238</xdr:colOff>
      <xdr:row>12</xdr:row>
      <xdr:rowOff>72996</xdr:rowOff>
    </xdr:to>
    <xdr:sp macro="[0]!loadBob" textlink="">
      <xdr:nvSpPr>
        <xdr:cNvPr id="11" name="ResetButton">
          <a:extLst>
            <a:ext uri="{FF2B5EF4-FFF2-40B4-BE49-F238E27FC236}">
              <a16:creationId xmlns:a16="http://schemas.microsoft.com/office/drawing/2014/main" id="{00000000-0008-0000-0900-00000B000000}"/>
            </a:ext>
          </a:extLst>
        </xdr:cNvPr>
        <xdr:cNvSpPr/>
      </xdr:nvSpPr>
      <xdr:spPr>
        <a:xfrm>
          <a:off x="5124445" y="1448675"/>
          <a:ext cx="1833159" cy="283464"/>
        </a:xfrm>
        <a:prstGeom prst="roundRect">
          <a:avLst/>
        </a:prstGeom>
        <a:gradFill rotWithShape="1">
          <a:gsLst>
            <a:gs pos="0">
              <a:srgbClr val="F89E5A">
                <a:tint val="50000"/>
                <a:satMod val="300000"/>
              </a:srgbClr>
            </a:gs>
            <a:gs pos="35000">
              <a:srgbClr val="F89E5A">
                <a:tint val="37000"/>
                <a:satMod val="300000"/>
              </a:srgbClr>
            </a:gs>
            <a:gs pos="100000">
              <a:srgbClr val="F89E5A">
                <a:tint val="15000"/>
                <a:satMod val="350000"/>
              </a:srgbClr>
            </a:gs>
          </a:gsLst>
          <a:lin ang="16200000" scaled="1"/>
        </a:gradFill>
        <a:ln w="9525" cap="flat" cmpd="sng" algn="ctr">
          <a:solidFill>
            <a:srgbClr val="F89E5A">
              <a:shade val="95000"/>
              <a:satMod val="105000"/>
            </a:srgbClr>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00"/>
              </a:solidFill>
              <a:effectLst/>
              <a:uLnTx/>
              <a:uFillTx/>
              <a:latin typeface="HelveticaNeue LT 55 Roman"/>
              <a:ea typeface="+mn-ea"/>
              <a:cs typeface="+mn-cs"/>
            </a:rPr>
            <a:t>Populate Sample Data</a:t>
          </a:r>
        </a:p>
      </xdr:txBody>
    </xdr:sp>
    <xdr:clientData/>
  </xdr:twoCellAnchor>
  <xdr:twoCellAnchor>
    <xdr:from>
      <xdr:col>5</xdr:col>
      <xdr:colOff>412657</xdr:colOff>
      <xdr:row>7</xdr:row>
      <xdr:rowOff>168368</xdr:rowOff>
    </xdr:from>
    <xdr:to>
      <xdr:col>8</xdr:col>
      <xdr:colOff>502304</xdr:colOff>
      <xdr:row>9</xdr:row>
      <xdr:rowOff>70833</xdr:rowOff>
    </xdr:to>
    <xdr:sp macro="[0]!modTransition.transition" textlink="">
      <xdr:nvSpPr>
        <xdr:cNvPr id="9" name="ResetButton">
          <a:extLst>
            <a:ext uri="{FF2B5EF4-FFF2-40B4-BE49-F238E27FC236}">
              <a16:creationId xmlns:a16="http://schemas.microsoft.com/office/drawing/2014/main" id="{00000000-0008-0000-0900-000009000000}"/>
            </a:ext>
          </a:extLst>
        </xdr:cNvPr>
        <xdr:cNvSpPr/>
      </xdr:nvSpPr>
      <xdr:spPr>
        <a:xfrm>
          <a:off x="7675470" y="887506"/>
          <a:ext cx="2504234" cy="26917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Import Data from Previous Version</a:t>
          </a:r>
        </a:p>
      </xdr:txBody>
    </xdr:sp>
    <xdr:clientData/>
  </xdr:twoCellAnchor>
  <xdr:twoCellAnchor editAs="absolute">
    <xdr:from>
      <xdr:col>5</xdr:col>
      <xdr:colOff>414842</xdr:colOff>
      <xdr:row>10</xdr:row>
      <xdr:rowOff>154081</xdr:rowOff>
    </xdr:from>
    <xdr:to>
      <xdr:col>7</xdr:col>
      <xdr:colOff>720402</xdr:colOff>
      <xdr:row>12</xdr:row>
      <xdr:rowOff>72166</xdr:rowOff>
    </xdr:to>
    <xdr:sp macro="[0]!UnprotectSheets" textlink="">
      <xdr:nvSpPr>
        <xdr:cNvPr id="12" name="ResetButton">
          <a:extLst>
            <a:ext uri="{FF2B5EF4-FFF2-40B4-BE49-F238E27FC236}">
              <a16:creationId xmlns:a16="http://schemas.microsoft.com/office/drawing/2014/main" id="{738BA302-293C-423F-BEE9-068B2F9609A4}"/>
            </a:ext>
          </a:extLst>
        </xdr:cNvPr>
        <xdr:cNvSpPr>
          <a:spLocks noChangeAspect="1"/>
        </xdr:cNvSpPr>
      </xdr:nvSpPr>
      <xdr:spPr>
        <a:xfrm>
          <a:off x="7216588" y="1445559"/>
          <a:ext cx="1835275" cy="2857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Unlock Sheets</a:t>
          </a:r>
        </a:p>
      </xdr:txBody>
    </xdr:sp>
    <xdr:clientData/>
  </xdr:twoCellAnchor>
  <xdr:twoCellAnchor>
    <xdr:from>
      <xdr:col>9</xdr:col>
      <xdr:colOff>38100</xdr:colOff>
      <xdr:row>7</xdr:row>
      <xdr:rowOff>161925</xdr:rowOff>
    </xdr:from>
    <xdr:to>
      <xdr:col>11</xdr:col>
      <xdr:colOff>104775</xdr:colOff>
      <xdr:row>9</xdr:row>
      <xdr:rowOff>64390</xdr:rowOff>
    </xdr:to>
    <xdr:sp macro="[0]!PrintSetup" textlink="">
      <xdr:nvSpPr>
        <xdr:cNvPr id="14" name="ResetButton">
          <a:extLst>
            <a:ext uri="{FF2B5EF4-FFF2-40B4-BE49-F238E27FC236}">
              <a16:creationId xmlns:a16="http://schemas.microsoft.com/office/drawing/2014/main" id="{83945C98-00BD-48B4-A7C5-AC39586662FD}"/>
            </a:ext>
          </a:extLst>
        </xdr:cNvPr>
        <xdr:cNvSpPr/>
      </xdr:nvSpPr>
      <xdr:spPr>
        <a:xfrm>
          <a:off x="9829800" y="895350"/>
          <a:ext cx="1571625" cy="28346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Print Setup</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306452</xdr:colOff>
      <xdr:row>19</xdr:row>
      <xdr:rowOff>123825</xdr:rowOff>
    </xdr:from>
    <xdr:to>
      <xdr:col>17</xdr:col>
      <xdr:colOff>301281</xdr:colOff>
      <xdr:row>25</xdr:row>
      <xdr:rowOff>149355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1031602" y="2847975"/>
          <a:ext cx="4191544" cy="993270"/>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19</xdr:col>
      <xdr:colOff>138906</xdr:colOff>
      <xdr:row>26</xdr:row>
      <xdr:rowOff>90068</xdr:rowOff>
    </xdr:from>
    <xdr:to>
      <xdr:col>29</xdr:col>
      <xdr:colOff>147928</xdr:colOff>
      <xdr:row>35</xdr:row>
      <xdr:rowOff>31778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6889750" y="6269412"/>
          <a:ext cx="7161821" cy="164097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15</xdr:col>
      <xdr:colOff>399819</xdr:colOff>
      <xdr:row>4</xdr:row>
      <xdr:rowOff>73025</xdr:rowOff>
    </xdr:from>
    <xdr:to>
      <xdr:col>18</xdr:col>
      <xdr:colOff>55938</xdr:colOff>
      <xdr:row>6</xdr:row>
      <xdr:rowOff>3174</xdr:rowOff>
    </xdr:to>
    <xdr:sp macro="[0]!Sheet27.BuildEquityReturns" textlink="">
      <xdr:nvSpPr>
        <xdr:cNvPr id="2" name="HideButton">
          <a:extLst>
            <a:ext uri="{FF2B5EF4-FFF2-40B4-BE49-F238E27FC236}">
              <a16:creationId xmlns:a16="http://schemas.microsoft.com/office/drawing/2014/main" id="{00000000-0008-0000-1900-000002000000}"/>
            </a:ext>
          </a:extLst>
        </xdr:cNvPr>
        <xdr:cNvSpPr/>
      </xdr:nvSpPr>
      <xdr:spPr>
        <a:xfrm>
          <a:off x="11429134" y="701675"/>
          <a:ext cx="1524289" cy="27304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Generate Options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3</xdr:col>
      <xdr:colOff>252686</xdr:colOff>
      <xdr:row>4</xdr:row>
      <xdr:rowOff>83039</xdr:rowOff>
    </xdr:from>
    <xdr:to>
      <xdr:col>11</xdr:col>
      <xdr:colOff>31054</xdr:colOff>
      <xdr:row>16</xdr:row>
      <xdr:rowOff>78156</xdr:rowOff>
    </xdr:to>
    <xdr:grpSp>
      <xdr:nvGrpSpPr>
        <xdr:cNvPr id="8" name="ReturnOnEquityScenariosChart">
          <a:extLst>
            <a:ext uri="{FF2B5EF4-FFF2-40B4-BE49-F238E27FC236}">
              <a16:creationId xmlns:a16="http://schemas.microsoft.com/office/drawing/2014/main" id="{00000000-0008-0000-1A00-000008000000}"/>
            </a:ext>
          </a:extLst>
        </xdr:cNvPr>
        <xdr:cNvGrpSpPr/>
      </xdr:nvGrpSpPr>
      <xdr:grpSpPr>
        <a:xfrm>
          <a:off x="2055109" y="1108808"/>
          <a:ext cx="4584830" cy="3072425"/>
          <a:chOff x="1384983" y="750542"/>
          <a:chExt cx="4841883" cy="2180673"/>
        </a:xfrm>
      </xdr:grpSpPr>
      <xdr:graphicFrame macro="">
        <xdr:nvGraphicFramePr>
          <xdr:cNvPr id="19" name="Chart 18">
            <a:extLst>
              <a:ext uri="{FF2B5EF4-FFF2-40B4-BE49-F238E27FC236}">
                <a16:creationId xmlns:a16="http://schemas.microsoft.com/office/drawing/2014/main" id="{00000000-0008-0000-1A00-000013000000}"/>
              </a:ext>
            </a:extLst>
          </xdr:cNvPr>
          <xdr:cNvGraphicFramePr>
            <a:graphicFrameLocks/>
          </xdr:cNvGraphicFramePr>
        </xdr:nvGraphicFramePr>
        <xdr:xfrm>
          <a:off x="1749702" y="750542"/>
          <a:ext cx="4039914" cy="2180673"/>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13" name="Straight Connector 12">
            <a:extLst>
              <a:ext uri="{FF2B5EF4-FFF2-40B4-BE49-F238E27FC236}">
                <a16:creationId xmlns:a16="http://schemas.microsoft.com/office/drawing/2014/main" id="{00000000-0008-0000-1A00-00000D000000}"/>
              </a:ext>
            </a:extLst>
          </xdr:cNvPr>
          <xdr:cNvCxnSpPr/>
        </xdr:nvCxnSpPr>
        <xdr:spPr>
          <a:xfrm>
            <a:off x="1384983" y="875747"/>
            <a:ext cx="1504994"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A00-00000E000000}"/>
              </a:ext>
            </a:extLst>
          </xdr:cNvPr>
          <xdr:cNvCxnSpPr/>
        </xdr:nvCxnSpPr>
        <xdr:spPr>
          <a:xfrm>
            <a:off x="4721872" y="875747"/>
            <a:ext cx="1504994"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372586</xdr:colOff>
      <xdr:row>16</xdr:row>
      <xdr:rowOff>30889</xdr:rowOff>
    </xdr:from>
    <xdr:to>
      <xdr:col>10</xdr:col>
      <xdr:colOff>332150</xdr:colOff>
      <xdr:row>27</xdr:row>
      <xdr:rowOff>23256</xdr:rowOff>
    </xdr:to>
    <xdr:grpSp>
      <xdr:nvGrpSpPr>
        <xdr:cNvPr id="23" name="CashFlowScenariosChart">
          <a:extLst>
            <a:ext uri="{FF2B5EF4-FFF2-40B4-BE49-F238E27FC236}">
              <a16:creationId xmlns:a16="http://schemas.microsoft.com/office/drawing/2014/main" id="{00000000-0008-0000-1A00-000017000000}"/>
            </a:ext>
          </a:extLst>
        </xdr:cNvPr>
        <xdr:cNvGrpSpPr/>
      </xdr:nvGrpSpPr>
      <xdr:grpSpPr>
        <a:xfrm>
          <a:off x="2175009" y="4133966"/>
          <a:ext cx="4165218" cy="2813232"/>
          <a:chOff x="1387941" y="3339907"/>
          <a:chExt cx="4835967" cy="2194255"/>
        </a:xfrm>
      </xdr:grpSpPr>
      <xdr:cxnSp macro="">
        <xdr:nvCxnSpPr>
          <xdr:cNvPr id="20" name="Straight Connector 19">
            <a:extLst>
              <a:ext uri="{FF2B5EF4-FFF2-40B4-BE49-F238E27FC236}">
                <a16:creationId xmlns:a16="http://schemas.microsoft.com/office/drawing/2014/main" id="{00000000-0008-0000-1A00-000014000000}"/>
              </a:ext>
            </a:extLst>
          </xdr:cNvPr>
          <xdr:cNvCxnSpPr/>
        </xdr:nvCxnSpPr>
        <xdr:spPr>
          <a:xfrm>
            <a:off x="1387941" y="3457220"/>
            <a:ext cx="1707684"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a:extLst>
              <a:ext uri="{FF2B5EF4-FFF2-40B4-BE49-F238E27FC236}">
                <a16:creationId xmlns:a16="http://schemas.microsoft.com/office/drawing/2014/main" id="{00000000-0008-0000-1A00-000015000000}"/>
              </a:ext>
            </a:extLst>
          </xdr:cNvPr>
          <xdr:cNvCxnSpPr/>
        </xdr:nvCxnSpPr>
        <xdr:spPr>
          <a:xfrm>
            <a:off x="4551589" y="3457220"/>
            <a:ext cx="1672319"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graphicFrame macro="">
        <xdr:nvGraphicFramePr>
          <xdr:cNvPr id="15" name="Chart 14">
            <a:extLst>
              <a:ext uri="{FF2B5EF4-FFF2-40B4-BE49-F238E27FC236}">
                <a16:creationId xmlns:a16="http://schemas.microsoft.com/office/drawing/2014/main" id="{00000000-0008-0000-1A00-00000F000000}"/>
              </a:ext>
            </a:extLst>
          </xdr:cNvPr>
          <xdr:cNvGraphicFramePr/>
        </xdr:nvGraphicFramePr>
        <xdr:xfrm>
          <a:off x="1752660" y="3339907"/>
          <a:ext cx="4035731" cy="219425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64293</xdr:colOff>
      <xdr:row>3</xdr:row>
      <xdr:rowOff>42860</xdr:rowOff>
    </xdr:from>
    <xdr:to>
      <xdr:col>17</xdr:col>
      <xdr:colOff>136031</xdr:colOff>
      <xdr:row>19</xdr:row>
      <xdr:rowOff>130437</xdr:rowOff>
    </xdr:to>
    <xdr:graphicFrame macro="">
      <xdr:nvGraphicFramePr>
        <xdr:cNvPr id="2" name="Chart 1">
          <a:extLst>
            <a:ext uri="{FF2B5EF4-FFF2-40B4-BE49-F238E27FC236}">
              <a16:creationId xmlns:a16="http://schemas.microsoft.com/office/drawing/2014/main" id="{E7794E0A-0D42-4A9E-8DB4-BD8930ACC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50004</xdr:colOff>
      <xdr:row>21</xdr:row>
      <xdr:rowOff>24533</xdr:rowOff>
    </xdr:from>
    <xdr:to>
      <xdr:col>17</xdr:col>
      <xdr:colOff>135208</xdr:colOff>
      <xdr:row>37</xdr:row>
      <xdr:rowOff>106971</xdr:rowOff>
    </xdr:to>
    <xdr:graphicFrame macro="">
      <xdr:nvGraphicFramePr>
        <xdr:cNvPr id="3" name="Chart 2">
          <a:extLst>
            <a:ext uri="{FF2B5EF4-FFF2-40B4-BE49-F238E27FC236}">
              <a16:creationId xmlns:a16="http://schemas.microsoft.com/office/drawing/2014/main" id="{A7F0577E-8BE5-49AB-9A29-50CB73C017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353579</xdr:colOff>
      <xdr:row>3</xdr:row>
      <xdr:rowOff>44160</xdr:rowOff>
    </xdr:from>
    <xdr:to>
      <xdr:col>25</xdr:col>
      <xdr:colOff>975925</xdr:colOff>
      <xdr:row>19</xdr:row>
      <xdr:rowOff>147651</xdr:rowOff>
    </xdr:to>
    <xdr:graphicFrame macro="">
      <xdr:nvGraphicFramePr>
        <xdr:cNvPr id="4" name="Chart 3">
          <a:extLst>
            <a:ext uri="{FF2B5EF4-FFF2-40B4-BE49-F238E27FC236}">
              <a16:creationId xmlns:a16="http://schemas.microsoft.com/office/drawing/2014/main" id="{2FC52EF1-BC5F-4940-92BE-BBDD191557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339148</xdr:colOff>
      <xdr:row>21</xdr:row>
      <xdr:rowOff>16740</xdr:rowOff>
    </xdr:from>
    <xdr:to>
      <xdr:col>25</xdr:col>
      <xdr:colOff>953332</xdr:colOff>
      <xdr:row>37</xdr:row>
      <xdr:rowOff>80818</xdr:rowOff>
    </xdr:to>
    <xdr:graphicFrame macro="">
      <xdr:nvGraphicFramePr>
        <xdr:cNvPr id="5" name="Chart 4">
          <a:extLst>
            <a:ext uri="{FF2B5EF4-FFF2-40B4-BE49-F238E27FC236}">
              <a16:creationId xmlns:a16="http://schemas.microsoft.com/office/drawing/2014/main" id="{F64E46C0-3E93-4148-9D80-5D04BD855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erkshire%20Place_HFF%20Anaylsi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mreis.sharepoint.com/Mac/Mac/Home/Marcus%20&amp;%20Millichap/Projects%20-%20Buildout%20Integration/Marketing/Best%20of%20the%20Best/Net%20Lease%20v1.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nt Roll Analysis"/>
      <sheetName val="Exe Sum"/>
      <sheetName val="Rent Roll Sum"/>
      <sheetName val="Lease Exp Trend"/>
      <sheetName val="Recent Leases"/>
      <sheetName val="Monthly Trend"/>
      <sheetName val="Op State"/>
      <sheetName val="Op State Detail"/>
      <sheetName val="Cap X"/>
      <sheetName val="CF-New Debt"/>
      <sheetName val="Debt Summary"/>
      <sheetName val="New_7YR"/>
      <sheetName val="CF-Assumption"/>
      <sheetName val="Exist Debt"/>
      <sheetName val="New_5YR"/>
      <sheetName val="New_10YR"/>
      <sheetName val="New Debt IRR"/>
      <sheetName val="Assumption IRR"/>
      <sheetName val="YMP"/>
      <sheetName val="Condo "/>
      <sheetName val="Condo Comps"/>
      <sheetName val="Market Trend Comparison Data"/>
      <sheetName val="Subject RevPAR Input"/>
      <sheetName val="Impact Trend"/>
      <sheetName val="Comp Set RevPAR Input"/>
      <sheetName val="Combined Market Data"/>
      <sheetName val="DD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Input"/>
      <sheetName val="Property_Summary"/>
      <sheetName val="Property_Expenses"/>
      <sheetName val="Pricing_Matrix"/>
      <sheetName val="Comps Charts"/>
      <sheetName val="Data_Validation"/>
      <sheetName val="Calculations"/>
    </sheetNames>
    <sheetDataSet>
      <sheetData sheetId="0"/>
      <sheetData sheetId="1"/>
      <sheetData sheetId="2"/>
      <sheetData sheetId="3"/>
      <sheetData sheetId="4"/>
      <sheetData sheetId="5"/>
      <sheetData sheetId="6"/>
      <sheetData sheetId="7"/>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MMI Colors">
      <a:dk1>
        <a:srgbClr val="000000"/>
      </a:dk1>
      <a:lt1>
        <a:srgbClr val="FFFFFF"/>
      </a:lt1>
      <a:dk2>
        <a:srgbClr val="031E3F"/>
      </a:dk2>
      <a:lt2>
        <a:srgbClr val="FFFFFF"/>
      </a:lt2>
      <a:accent1>
        <a:srgbClr val="F58025"/>
      </a:accent1>
      <a:accent2>
        <a:srgbClr val="F89E5A"/>
      </a:accent2>
      <a:accent3>
        <a:srgbClr val="C35909"/>
      </a:accent3>
      <a:accent4>
        <a:srgbClr val="365792"/>
      </a:accent4>
      <a:accent5>
        <a:srgbClr val="031E3F"/>
      </a:accent5>
      <a:accent6>
        <a:srgbClr val="B9C9E5"/>
      </a:accent6>
      <a:hlink>
        <a:srgbClr val="7F7F7F"/>
      </a:hlink>
      <a:folHlink>
        <a:srgbClr val="BFBFBF"/>
      </a:folHlink>
    </a:clrScheme>
    <a:fontScheme name="MMI fonts">
      <a:majorFont>
        <a:latin typeface="HelveticaNeue LT 75 Bold"/>
        <a:ea typeface=""/>
        <a:cs typeface=""/>
      </a:majorFont>
      <a:minorFont>
        <a:latin typeface="HelveticaNeue LT 55 Roman"/>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79101C-9329-4132-90A2-D07A147C0583}">
  <we:reference id="WA200009404" version="1.0.0.5" store="Omex" storeType="OMEX"/>
  <we:alternateReferences>
    <we:reference id="WA200009404" version="1.0.0.5" store="WA200009404" storeType="OMEX"/>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7.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printerSettings" Target="../printerSettings/printerSettings14.bin"/><Relationship Id="rId1" Type="http://schemas.openxmlformats.org/officeDocument/2006/relationships/hyperlink" Target="https://mmreis.sharepoint.com/Departments/LearningCenter/Pages/default.aspx?active=283&amp;title=MNet%20Launch%20Document%20Creation%3a%20Financial%20Models" TargetMode="External"/><Relationship Id="rId4" Type="http://schemas.openxmlformats.org/officeDocument/2006/relationships/drawing" Target="../drawings/drawing6.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15.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17.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18.bin"/><Relationship Id="rId1" Type="http://schemas.openxmlformats.org/officeDocument/2006/relationships/printerSettings" Target="../printerSettings/printerSettings18.bin"/><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9.bin"/><Relationship Id="rId1" Type="http://schemas.openxmlformats.org/officeDocument/2006/relationships/printerSettings" Target="../printerSettings/printerSettings19.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23.bin"/><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customProperty" Target="../customProperty24.bin"/><Relationship Id="rId1" Type="http://schemas.openxmlformats.org/officeDocument/2006/relationships/printerSettings" Target="../printerSettings/printerSettings24.bin"/><Relationship Id="rId4" Type="http://schemas.openxmlformats.org/officeDocument/2006/relationships/comments" Target="../comments8.xml"/></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25.bin"/><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customProperty" Target="../customProperty27.bin"/><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customProperty" Target="../customProperty28.bin"/><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29.bin"/><Relationship Id="rId1" Type="http://schemas.openxmlformats.org/officeDocument/2006/relationships/printerSettings" Target="../printerSettings/printerSettings29.bin"/><Relationship Id="rId5" Type="http://schemas.openxmlformats.org/officeDocument/2006/relationships/comments" Target="../comments9.xml"/><Relationship Id="rId4" Type="http://schemas.openxmlformats.org/officeDocument/2006/relationships/vmlDrawing" Target="../drawings/vmlDrawing10.v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30.bin"/><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31.bin"/><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75"/>
  <sheetViews>
    <sheetView workbookViewId="0">
      <selection activeCell="I23" sqref="I23"/>
    </sheetView>
  </sheetViews>
  <sheetFormatPr defaultColWidth="8.85546875" defaultRowHeight="12.75"/>
  <cols>
    <col min="1" max="1" width="34.140625" bestFit="1" customWidth="1"/>
    <col min="2" max="2" width="23.42578125" customWidth="1"/>
    <col min="3" max="3" width="17.85546875" customWidth="1"/>
    <col min="4" max="4" width="14.5703125" customWidth="1"/>
    <col min="5" max="5" width="13.42578125" bestFit="1" customWidth="1"/>
    <col min="6" max="6" width="13.85546875" customWidth="1"/>
    <col min="7" max="7" width="15.140625" customWidth="1"/>
    <col min="9" max="9" width="13.42578125" customWidth="1"/>
    <col min="11" max="11" width="18.140625" bestFit="1" customWidth="1"/>
    <col min="12" max="12" width="11.42578125" customWidth="1"/>
  </cols>
  <sheetData>
    <row r="1" spans="1:12">
      <c r="A1" s="1" t="s">
        <v>0</v>
      </c>
      <c r="B1" s="2">
        <f>IF(Input!B10="Unpriced",0,Input!C9)</f>
        <v>9350000</v>
      </c>
      <c r="C1" s="1" t="s">
        <v>1</v>
      </c>
      <c r="D1" s="9" t="str">
        <f>IF(Input!B8=0,"",Input!B8)</f>
        <v/>
      </c>
      <c r="I1" s="319" t="s">
        <v>2</v>
      </c>
      <c r="J1" s="319"/>
      <c r="K1" s="319"/>
    </row>
    <row r="2" spans="1:12">
      <c r="A2" s="1" t="s">
        <v>3</v>
      </c>
      <c r="B2">
        <f>IF(Input!$B$10="Unpriced","",IF('Pricing Detail'!G5=0,"",'Pricing Detail'!G5))</f>
        <v>4207500</v>
      </c>
      <c r="C2" s="1" t="s">
        <v>4</v>
      </c>
      <c r="D2" s="2">
        <f>IF(Input!$B$10="Unpriced","",IFERROR(B1/B29,""))</f>
        <v>-67.984178227612489</v>
      </c>
      <c r="I2" s="1" t="s">
        <v>5</v>
      </c>
      <c r="L2" s="1" t="s">
        <v>6</v>
      </c>
    </row>
    <row r="3" spans="1:12">
      <c r="A3" s="1" t="s">
        <v>7</v>
      </c>
      <c r="B3" s="2">
        <f>I4</f>
        <v>5142500</v>
      </c>
      <c r="C3" s="1" t="s">
        <v>8</v>
      </c>
      <c r="D3" s="2" t="str">
        <f>IF(Input!$B$10="Unpriced","",IFERROR(B1/D29,""))</f>
        <v/>
      </c>
      <c r="G3" s="1"/>
      <c r="H3" s="15" t="s">
        <v>9</v>
      </c>
      <c r="I3" s="11" t="e">
        <f>IF(SwitchAcqMethod="All Cash","All Cash",IF(SwitchLoanType="Assumed","Existing","Proposed New"))</f>
        <v>#NAME?</v>
      </c>
      <c r="K3" s="312" t="s">
        <v>7</v>
      </c>
      <c r="L3" s="12" t="str">
        <f>IF(Input!B45=0,"",Input!B45)</f>
        <v/>
      </c>
    </row>
    <row r="4" spans="1:12">
      <c r="A4" s="1" t="s">
        <v>10</v>
      </c>
      <c r="B4" s="3">
        <f>I6</f>
        <v>5.7500000000000002E-2</v>
      </c>
      <c r="G4" s="1"/>
      <c r="H4" s="15" t="s">
        <v>7</v>
      </c>
      <c r="I4" s="12">
        <f>IF(SwitchAcqMethod="All Cash","",Debt!E12)</f>
        <v>5142500</v>
      </c>
      <c r="K4" s="1" t="s">
        <v>11</v>
      </c>
      <c r="L4" s="12" t="str">
        <f>IF(ISBLANK(Input!B54),"Existing",Input!B54)</f>
        <v>Existing</v>
      </c>
    </row>
    <row r="5" spans="1:12">
      <c r="A5" s="1" t="s">
        <v>12</v>
      </c>
      <c r="B5" s="2">
        <f>I8</f>
        <v>30</v>
      </c>
      <c r="C5" s="1" t="s">
        <v>13</v>
      </c>
      <c r="D5" s="2" t="b">
        <f>IF(COUNTA(Notes!D4:D30)=0,FALSE,TRUE)</f>
        <v>1</v>
      </c>
      <c r="G5" s="1"/>
      <c r="H5" s="15" t="s">
        <v>14</v>
      </c>
      <c r="I5" s="4">
        <f>IFERROR(B3/B1,"")</f>
        <v>0.55000000000000004</v>
      </c>
      <c r="K5" s="1" t="s">
        <v>10</v>
      </c>
      <c r="L5" s="3" t="str">
        <f>IF(Input!B47=0,"",Input!B47)</f>
        <v/>
      </c>
    </row>
    <row r="6" spans="1:12">
      <c r="A6" s="1" t="s">
        <v>15</v>
      </c>
      <c r="B6" s="11" t="str">
        <f>IF('Operating Statement'!O4=0,"",'Operating Statement'!O4)</f>
        <v>Current</v>
      </c>
      <c r="G6" s="1"/>
      <c r="H6" s="15" t="s">
        <v>10</v>
      </c>
      <c r="I6" s="3">
        <f>IF(SwitchAcqMethod="All Cash","",Debt!E13)</f>
        <v>5.7500000000000002E-2</v>
      </c>
      <c r="K6" s="1" t="s">
        <v>16</v>
      </c>
      <c r="L6" s="2" t="str">
        <f>IF(Input!B49=0,"",Input!B49)</f>
        <v/>
      </c>
    </row>
    <row r="7" spans="1:12">
      <c r="A7" s="1" t="s">
        <v>17</v>
      </c>
      <c r="B7" s="11" t="str">
        <f>IF('Operating Statement'!Q4=0,"",'Operating Statement'!Q4)</f>
        <v>Pro Forma</v>
      </c>
      <c r="G7" s="1"/>
      <c r="H7" s="15" t="s">
        <v>16</v>
      </c>
      <c r="I7" s="2">
        <f>IF(SwitchAcqMethod="All Cash","",Debt!E14)</f>
        <v>3</v>
      </c>
      <c r="K7" s="1" t="s">
        <v>12</v>
      </c>
      <c r="L7" s="2" t="str">
        <f>IF(Input!B48=0,"",Input!B48)</f>
        <v/>
      </c>
    </row>
    <row r="8" spans="1:12">
      <c r="A8" s="1" t="s">
        <v>18</v>
      </c>
      <c r="B8" s="3">
        <f>IF(Input!$B$10="Unpriced","",IFERROR('Pricing Detail'!G15,""))</f>
        <v>4.7683000641711229E-2</v>
      </c>
      <c r="G8" s="1"/>
      <c r="H8" s="15" t="s">
        <v>19</v>
      </c>
      <c r="I8" s="2">
        <f>IF(SwitchAcqMethod="All Cash","",Debt!E17)</f>
        <v>30</v>
      </c>
      <c r="K8" s="1" t="s">
        <v>20</v>
      </c>
      <c r="L8" s="271" t="str">
        <f>IF(Input!B50=0,"",Input!B50)</f>
        <v/>
      </c>
    </row>
    <row r="9" spans="1:12">
      <c r="A9" s="1" t="s">
        <v>21</v>
      </c>
      <c r="B9" s="3">
        <f>IF(Input!$B$10="Unpriced","",IFERROR('Pricing Detail'!H15,""))</f>
        <v>6.1097886631016042E-2</v>
      </c>
      <c r="G9" s="1"/>
      <c r="H9" s="15" t="s">
        <v>22</v>
      </c>
      <c r="I9" s="3">
        <f>IF(SwitchAcqMethod="All Cash","",Debt!E18)</f>
        <v>7.0028742773226349E-2</v>
      </c>
      <c r="K9" s="1" t="s">
        <v>23</v>
      </c>
      <c r="L9" s="16" t="str">
        <f>IF(Input!B51=0,"",Input!B51)</f>
        <v/>
      </c>
    </row>
    <row r="10" spans="1:12">
      <c r="A10" s="1" t="s">
        <v>24</v>
      </c>
      <c r="B10" s="9">
        <f>IF(Input!$B$10="Unpriced","",IFERROR('Pricing Detail'!G16,""))</f>
        <v>12.622376300712252</v>
      </c>
      <c r="G10" s="1"/>
      <c r="H10" s="15" t="s">
        <v>25</v>
      </c>
      <c r="I10" s="12">
        <f>IF(SwitchAcqMethod="All Cash","",Debt!E19)</f>
        <v>-360122.80971131654</v>
      </c>
      <c r="K10" s="1" t="s">
        <v>26</v>
      </c>
      <c r="L10" s="12" t="str">
        <f>IF(Input!B53=0,"",Input!B53)</f>
        <v/>
      </c>
    </row>
    <row r="11" spans="1:12">
      <c r="A11" s="1" t="s">
        <v>27</v>
      </c>
      <c r="B11" s="9">
        <f>IF(Input!$B$10="Unpriced","",IFERROR('Pricing Detail'!H16,""))</f>
        <v>10.645807715079474</v>
      </c>
      <c r="G11" s="1"/>
      <c r="H11" s="15" t="s">
        <v>28</v>
      </c>
      <c r="I11" s="18">
        <f>IF(SwitchAcqMethod="All Cash","",Debt!E15)</f>
        <v>47119</v>
      </c>
      <c r="K11" s="1" t="s">
        <v>29</v>
      </c>
      <c r="L11" s="2" t="str">
        <f>IF(Input!B52=0,"",Input!B52)</f>
        <v/>
      </c>
    </row>
    <row r="12" spans="1:12">
      <c r="A12" s="1" t="s">
        <v>30</v>
      </c>
      <c r="B12" s="10">
        <f>IF('Pricing Detail'!N16=0,"",'Pricing Detail'!N16)</f>
        <v>85713.24628868344</v>
      </c>
      <c r="G12" s="1"/>
      <c r="H12" s="15" t="s">
        <v>31</v>
      </c>
      <c r="I12" s="12">
        <f>IF(SwitchAcqMethod="All Cash","",Debt!E21)</f>
        <v>4932088.8159426153</v>
      </c>
    </row>
    <row r="13" spans="1:12">
      <c r="A13" s="1" t="s">
        <v>32</v>
      </c>
      <c r="B13" s="10">
        <f>IF('Pricing Detail'!P16=0,"",'Pricing Detail'!P16)</f>
        <v>211142.43028868345</v>
      </c>
      <c r="H13" s="15" t="s">
        <v>33</v>
      </c>
      <c r="I13" s="9">
        <f>IF(Input!$B$10="Unpriced","",'Pricing Detail'!G18)</f>
        <v>1.2380111561314133</v>
      </c>
    </row>
    <row r="14" spans="1:12">
      <c r="A14" s="1" t="s">
        <v>34</v>
      </c>
      <c r="B14" s="3">
        <f>IF(Input!$B$10="Unpriced","",'Pricing Detail'!M18)</f>
        <v>3.6094520557337466E-2</v>
      </c>
    </row>
    <row r="15" spans="1:12">
      <c r="A15" s="1" t="s">
        <v>35</v>
      </c>
      <c r="B15" s="3">
        <f>IF(Input!$B$10="Unpriced","",'Pricing Detail'!O18)</f>
        <v>6.6833660546620363E-2</v>
      </c>
    </row>
    <row r="16" spans="1:12">
      <c r="A16" s="1" t="s">
        <v>36</v>
      </c>
      <c r="B16" s="2">
        <f>IF(ISBLANK(Input!B27),"",Input!B27)</f>
        <v>1953</v>
      </c>
    </row>
    <row r="17" spans="1:10" ht="14.25">
      <c r="A17" s="263"/>
      <c r="B17" s="264"/>
      <c r="C17" s="264"/>
      <c r="D17" s="265" t="s">
        <v>37</v>
      </c>
      <c r="E17" s="265" t="s">
        <v>38</v>
      </c>
      <c r="F17" s="265" t="s">
        <v>39</v>
      </c>
      <c r="G17" s="265" t="s">
        <v>40</v>
      </c>
      <c r="H17" s="265" t="s">
        <v>38</v>
      </c>
      <c r="I17" s="265" t="s">
        <v>39</v>
      </c>
    </row>
    <row r="18" spans="1:10" ht="14.25">
      <c r="A18" s="263" t="s">
        <v>41</v>
      </c>
      <c r="B18" s="264" t="s">
        <v>42</v>
      </c>
      <c r="C18" s="264" t="s">
        <v>43</v>
      </c>
      <c r="D18" s="265" t="s">
        <v>44</v>
      </c>
      <c r="E18" s="265" t="s">
        <v>45</v>
      </c>
      <c r="F18" s="265" t="s">
        <v>46</v>
      </c>
      <c r="G18" s="265" t="s">
        <v>47</v>
      </c>
      <c r="H18" s="265" t="s">
        <v>45</v>
      </c>
      <c r="I18" s="265" t="s">
        <v>46</v>
      </c>
    </row>
    <row r="19" spans="1:10">
      <c r="A19" s="5">
        <f>IF('Pricing Detail'!E30=0,"",'Pricing Detail'!E30)</f>
        <v>2</v>
      </c>
      <c r="B19" s="2" t="str">
        <f>IF('Pricing Detail'!F30=0,"",'Pricing Detail'!F30)</f>
        <v>1 Bed / 1 Bath</v>
      </c>
      <c r="C19" s="5">
        <f>IF('Pricing Detail'!H30=0,"",'Pricing Detail'!H30)</f>
        <v>650</v>
      </c>
      <c r="D19" s="6">
        <f>IF('Pricing Detail'!I30=0,"",'Pricing Detail'!I30)</f>
        <v>1922.5</v>
      </c>
      <c r="E19" s="7">
        <f>IFERROR(D19/C19,"")</f>
        <v>2.9576923076923078</v>
      </c>
      <c r="F19" s="315">
        <f>IFERROR(D19*A19,"")</f>
        <v>3845</v>
      </c>
      <c r="G19" s="6">
        <f>IF('Pricing Detail'!J30=0,"",'Pricing Detail'!J30)</f>
        <v>2295</v>
      </c>
      <c r="H19" s="7">
        <f>IFERROR(G19/C19,"")</f>
        <v>3.5307692307692307</v>
      </c>
      <c r="I19" s="12">
        <f>IFERROR(G19*A19,"")</f>
        <v>4590</v>
      </c>
    </row>
    <row r="20" spans="1:10">
      <c r="A20" s="2">
        <f>IF('Pricing Detail'!E31=0,"",'Pricing Detail'!E31)</f>
        <v>24</v>
      </c>
      <c r="B20" s="2" t="str">
        <f>IF('Pricing Detail'!F31=0,"",'Pricing Detail'!F31)</f>
        <v>2 Bed / 1 Bath</v>
      </c>
      <c r="C20" s="5">
        <f>IF('Pricing Detail'!H31=0,"",'Pricing Detail'!H31)</f>
        <v>750</v>
      </c>
      <c r="D20" s="6">
        <f>IF('Pricing Detail'!I31=0,"",'Pricing Detail'!I31)</f>
        <v>2203.5</v>
      </c>
      <c r="E20" s="7">
        <f>IFERROR(D20/C20,"")</f>
        <v>2.9380000000000002</v>
      </c>
      <c r="F20" s="315">
        <f>IFERROR(D20*A20,"")</f>
        <v>52884</v>
      </c>
      <c r="G20" s="6">
        <f>IF('Pricing Detail'!J31=0,"",'Pricing Detail'!J31)</f>
        <v>2650</v>
      </c>
      <c r="H20" s="7">
        <f>IFERROR(G20/C20,"")</f>
        <v>3.5333333333333332</v>
      </c>
      <c r="I20" s="12">
        <f>IFERROR(G20*A20,"")</f>
        <v>63600</v>
      </c>
    </row>
    <row r="21" spans="1:10">
      <c r="A21" s="2">
        <f>IF('Pricing Detail'!E32=0,"",'Pricing Detail'!E32)</f>
        <v>1</v>
      </c>
      <c r="B21" s="2" t="str">
        <f>IF('Pricing Detail'!F32=0,"",'Pricing Detail'!F32)</f>
        <v>4 Bed / 3 Bath House</v>
      </c>
      <c r="C21" s="5">
        <f>IF('Pricing Detail'!H32=0,"",'Pricing Detail'!H32)</f>
        <v>2500</v>
      </c>
      <c r="D21" s="6">
        <f>IF('Pricing Detail'!I32=0,"",'Pricing Detail'!I32)</f>
        <v>5000</v>
      </c>
      <c r="E21" s="7">
        <f>IFERROR(D21/C21,"")</f>
        <v>2</v>
      </c>
      <c r="F21" s="315">
        <f>IFERROR(D21*A21,"")</f>
        <v>5000</v>
      </c>
      <c r="G21" s="6">
        <f>IF('Pricing Detail'!J32=0,"",'Pricing Detail'!J32)</f>
        <v>5000</v>
      </c>
      <c r="H21" s="7">
        <f>IFERROR(G21/C21,"")</f>
        <v>2</v>
      </c>
      <c r="I21" s="12">
        <f>IFERROR(G21*A21,"")</f>
        <v>5000</v>
      </c>
    </row>
    <row r="22" spans="1:10">
      <c r="A22" s="2" t="str">
        <f>IF('Pricing Detail'!E33=0,"",'Pricing Detail'!E33)</f>
        <v/>
      </c>
      <c r="B22" s="2" t="str">
        <f>IF('Pricing Detail'!F33=0,"",'Pricing Detail'!F33)</f>
        <v/>
      </c>
      <c r="C22" s="5" t="str">
        <f>IF('Pricing Detail'!H33=0,"",'Pricing Detail'!H33)</f>
        <v/>
      </c>
      <c r="D22" s="6" t="str">
        <f>IF('Pricing Detail'!I33=0,"",'Pricing Detail'!I33)</f>
        <v/>
      </c>
      <c r="E22" s="7" t="str">
        <f>IFERROR(D22/C22,"")</f>
        <v/>
      </c>
      <c r="F22" s="315" t="str">
        <f>IFERROR(D22*A22,"")</f>
        <v/>
      </c>
      <c r="G22" s="6" t="str">
        <f>IF('Pricing Detail'!J33=0,"",'Pricing Detail'!J33)</f>
        <v/>
      </c>
      <c r="H22" s="7" t="str">
        <f>IFERROR(G22/C22,"")</f>
        <v/>
      </c>
      <c r="I22" s="12" t="str">
        <f>IFERROR(G22*A22,"")</f>
        <v/>
      </c>
    </row>
    <row r="23" spans="1:10">
      <c r="A23" s="2" t="str">
        <f>IF('Pricing Detail'!E34=0,"",'Pricing Detail'!E34)</f>
        <v/>
      </c>
      <c r="B23" s="2" t="str">
        <f>IF('Pricing Detail'!F34=0,"",'Pricing Detail'!F34)</f>
        <v/>
      </c>
      <c r="C23" s="5" t="str">
        <f>IF('Pricing Detail'!H34=0,"",'Pricing Detail'!H34)</f>
        <v/>
      </c>
      <c r="D23" s="6" t="str">
        <f>IF('Pricing Detail'!I34=0,"",'Pricing Detail'!I34)</f>
        <v/>
      </c>
      <c r="E23" s="7" t="str">
        <f>IFERROR(D23/C23,"")</f>
        <v/>
      </c>
      <c r="F23" s="315" t="str">
        <f>IFERROR(D23*A23,"")</f>
        <v/>
      </c>
      <c r="G23" s="6" t="str">
        <f>IF('Pricing Detail'!J34=0,"",'Pricing Detail'!J34)</f>
        <v/>
      </c>
      <c r="H23" s="7" t="str">
        <f>IFERROR(G23/C23,"")</f>
        <v/>
      </c>
      <c r="I23" s="12" t="str">
        <f>IFERROR(G23*A23,"")</f>
        <v/>
      </c>
    </row>
    <row r="24" spans="1:10">
      <c r="A24" s="1" t="s">
        <v>48</v>
      </c>
      <c r="C24" s="1" t="s">
        <v>49</v>
      </c>
      <c r="F24" s="1" t="s">
        <v>50</v>
      </c>
      <c r="I24" s="1" t="s">
        <v>51</v>
      </c>
    </row>
    <row r="25" spans="1:10">
      <c r="A25" s="8">
        <f>TotalUnits</f>
        <v>27</v>
      </c>
      <c r="C25" s="5">
        <f>IF('Rent Roll Summary'!T36=0,"",ROUND('Rent Roll Summary'!T36,0))</f>
        <v>22674</v>
      </c>
      <c r="F25" s="318">
        <f>IF('Rent Roll Summary'!K36=0,"",'Rent Roll Summary'!K36)</f>
        <v>61729</v>
      </c>
      <c r="I25" s="12">
        <f>IF('Rent Roll Summary'!N36=0,"",'Rent Roll Summary'!N36)</f>
        <v>73190</v>
      </c>
    </row>
    <row r="26" spans="1:10">
      <c r="A26" s="1" t="s">
        <v>52</v>
      </c>
      <c r="I26" s="316"/>
    </row>
    <row r="27" spans="1:10">
      <c r="A27" s="1" t="s">
        <v>53</v>
      </c>
      <c r="B27" s="1">
        <f>C51</f>
        <v>24945.48</v>
      </c>
      <c r="C27" s="1"/>
      <c r="D27" s="1">
        <f>D51</f>
        <v>0</v>
      </c>
    </row>
    <row r="28" spans="1:10">
      <c r="A28" s="14" t="str">
        <f>'Operating Statement'!E6</f>
        <v>Gross Potential Rent</v>
      </c>
      <c r="B28" s="6">
        <f>IF('Operating Statement'!O6=0,"",'Operating Statement'!O6)</f>
        <v>878280</v>
      </c>
      <c r="D28" s="6">
        <f>IF('Operating Statement'!Q6=0,"",'Operating Statement'!Q6)</f>
        <v>878280</v>
      </c>
      <c r="F28" s="17"/>
    </row>
    <row r="29" spans="1:10">
      <c r="A29" s="8" t="str">
        <f>'Operating Statement'!E7</f>
        <v>Loss / Gain to Lease</v>
      </c>
      <c r="B29" s="6">
        <f>IF('Operating Statement'!O7=0,"",'Operating Statement'!O7)</f>
        <v>-137532</v>
      </c>
      <c r="D29" s="6" t="str">
        <f>IF('Operating Statement'!Q7=0,"",'Operating Statement'!Q7)</f>
        <v/>
      </c>
      <c r="G29" s="8" t="s">
        <v>54</v>
      </c>
      <c r="H29" s="339">
        <f>IFERROR(ROUND(Input!B13*43560,0),"")</f>
        <v>48787</v>
      </c>
    </row>
    <row r="30" spans="1:10">
      <c r="A30" s="8" t="str">
        <f>'Operating Statement'!E8</f>
        <v>Gross Scheduled Rent</v>
      </c>
      <c r="B30" s="6">
        <f>IF('Operating Statement'!O8=0,"",'Operating Statement'!O8)</f>
        <v>740748</v>
      </c>
      <c r="D30" s="6">
        <f>IF('Operating Statement'!Q8=0,"",'Operating Statement'!Q8)</f>
        <v>878280</v>
      </c>
    </row>
    <row r="31" spans="1:10">
      <c r="A31" s="8" t="str">
        <f>'Operating Statement'!E14</f>
        <v>TOTAL VACANCY</v>
      </c>
      <c r="B31" s="6">
        <f>IF('Operating Statement'!O14=0,"",'Operating Statement'!O14)</f>
        <v>-37037.4</v>
      </c>
      <c r="C31" s="313">
        <f>'Operating Statement'!P14</f>
        <v>0.05</v>
      </c>
      <c r="D31" s="6">
        <f>IF('Operating Statement'!Q14=0,"",'Operating Statement'!Q14)</f>
        <v>-43914</v>
      </c>
      <c r="E31" s="313">
        <f>'Operating Statement'!R14</f>
        <v>0.05</v>
      </c>
    </row>
    <row r="32" spans="1:10">
      <c r="A32" s="8" t="str">
        <f>'Operating Statement'!E16</f>
        <v>Effective Rental Income</v>
      </c>
      <c r="B32" s="10">
        <f>IF('Operating Statement'!O16=0,"",'Operating Statement'!O16)</f>
        <v>703710.6</v>
      </c>
      <c r="D32" s="10">
        <f>IF('Operating Statement'!Q16=0,"",'Operating Statement'!Q16)</f>
        <v>834366</v>
      </c>
      <c r="G32" s="1" t="s">
        <v>55</v>
      </c>
      <c r="I32" s="450" t="s">
        <v>56</v>
      </c>
      <c r="J32" s="450" t="s">
        <v>57</v>
      </c>
    </row>
    <row r="33" spans="1:10">
      <c r="A33" s="8" t="str">
        <f>'Operating Statement'!E20</f>
        <v>TOTAL OTHER INCOME</v>
      </c>
      <c r="B33" s="6">
        <f>IF('Operating Statement'!O20=0,"",'Operating Statement'!O20)</f>
        <v>5820</v>
      </c>
      <c r="D33" s="6">
        <f>IF('Operating Statement'!Q20=0,"",'Operating Statement'!Q20)</f>
        <v>5820</v>
      </c>
      <c r="G33" s="2" t="s">
        <v>58</v>
      </c>
      <c r="H33" s="2">
        <f>ROUND(IFERROR(IF(SwitchRentRollType="Summary",SUMIF('Rent Roll Summary Input'!$A$8:$A$46,H37,'Rent Roll Summary Input'!$M$8:$M$46)/SUMIF('Rent Roll Summary Input'!$A$8:$A$46,H37,'Rent Roll Summary Input'!$D$8:$D$46),AVERAGEIFS('Rent Roll Detail Input'!$J$12:$J$1011,'Rent Roll Detail Input'!$P$12:$P$1011,H37,'Rent Roll Detail Input'!$J$12:$J$1011,"&lt;&gt;0")),0),0)</f>
        <v>0</v>
      </c>
      <c r="I33" s="2" t="str">
        <f>IFERROR(ROUND(I37/K37,2),"")</f>
        <v/>
      </c>
      <c r="J33">
        <f>IFERROR(ROUND(IF(SwitchRentRollType="Summary",AVERAGEIF('Rent Roll Summary Input'!$A$8:$A$46,$H37,'Rent Roll Summary Input'!$E$8:$E$46),AVERAGEIFS('Rent Roll Detail Input'!$I$12:$I$1011,'Rent Roll Detail Input'!$P$12:$P$1011,$H37,'Rent Roll Detail Input'!$J$12:$J$1011,"&lt;&gt;0")),2),0)</f>
        <v>0</v>
      </c>
    </row>
    <row r="34" spans="1:10">
      <c r="A34" s="8" t="s">
        <v>59</v>
      </c>
      <c r="B34" s="6">
        <f>IF('Operating Statement'!O21=0,"",'Operating Statement'!O21)</f>
        <v>709530.6</v>
      </c>
      <c r="D34" s="6">
        <f>IF('Operating Statement'!Q21=0,"",'Operating Statement'!Q21)</f>
        <v>840186</v>
      </c>
      <c r="G34" s="2" t="s">
        <v>60</v>
      </c>
      <c r="H34" s="2">
        <f>ROUND(IFERROR(IF(SwitchRentRollType="Summary",SUMIF('Rent Roll Summary Input'!$A$8:$A$46,H38,'Rent Roll Summary Input'!$M$8:$M$46)/SUMIF('Rent Roll Summary Input'!$A$8:$A$46,H38,'Rent Roll Summary Input'!$D$8:$D$46),AVERAGEIFS('Rent Roll Detail Input'!$J$12:$J$1011,'Rent Roll Detail Input'!$P$12:$P$1011,H38,'Rent Roll Detail Input'!$J$12:$J$1011,"&lt;&gt;0")),0),0)</f>
        <v>0</v>
      </c>
      <c r="I34" s="2" t="str">
        <f t="shared" ref="I34:I40" si="0">IFERROR(ROUND(H34/J34,2),"")</f>
        <v/>
      </c>
      <c r="J34">
        <f>IFERROR(ROUND(IF(SwitchRentRollType="Summary",AVERAGEIF('Rent Roll Summary Input'!$A$8:$A$46,$H38,'Rent Roll Summary Input'!$E$8:$E$46),AVERAGEIFS('Rent Roll Detail Input'!$I$12:$I$1011,'Rent Roll Detail Input'!$P$12:$P$1011,$H38,'Rent Roll Detail Input'!$J$12:$J$1011,"&lt;&gt;0")),2),0)</f>
        <v>0</v>
      </c>
    </row>
    <row r="35" spans="1:10">
      <c r="A35" s="8" t="s">
        <v>61</v>
      </c>
      <c r="B35" s="6">
        <f>IF(-'Operating Statement'!O39=0,"",-'Operating Statement'!O39)</f>
        <v>-263694.54399999999</v>
      </c>
      <c r="C35" s="313">
        <f>'Operating Statement'!O40</f>
        <v>0.37164647162504338</v>
      </c>
      <c r="D35" s="6">
        <f>IF(-'Operating Statement'!Q39=0,"",-'Operating Statement'!Q39)</f>
        <v>-268920.76</v>
      </c>
      <c r="E35" s="313">
        <f>'Operating Statement'!Q40</f>
        <v>0.32007288862228128</v>
      </c>
      <c r="G35" s="2" t="s">
        <v>62</v>
      </c>
      <c r="H35" s="2">
        <f>ROUND(IFERROR(IF(SwitchRentRollType="Summary",SUMIF('Rent Roll Summary Input'!$A$8:$A$46,H39,'Rent Roll Summary Input'!$M$8:$M$46)/SUMIF('Rent Roll Summary Input'!$A$8:$A$46,H39,'Rent Roll Summary Input'!$D$8:$D$46),AVERAGEIFS('Rent Roll Detail Input'!$J$12:$J$1011,'Rent Roll Detail Input'!$P$12:$P$1011,H39,'Rent Roll Detail Input'!$J$12:$J$1011,"&lt;&gt;0")),0),0)</f>
        <v>0</v>
      </c>
      <c r="I35" s="2" t="str">
        <f t="shared" si="0"/>
        <v/>
      </c>
      <c r="J35">
        <f>IFERROR(ROUND(IF(SwitchRentRollType="Summary",AVERAGEIF('Rent Roll Summary Input'!$A$8:$A$46,$H39,'Rent Roll Summary Input'!$E$8:$E$46),AVERAGEIFS('Rent Roll Detail Input'!$I$12:$I$1011,'Rent Roll Detail Input'!$P$12:$P$1011,$H39,'Rent Roll Detail Input'!$J$12:$J$1011,"&lt;&gt;0")),2),0)</f>
        <v>0</v>
      </c>
    </row>
    <row r="36" spans="1:10">
      <c r="A36" s="8" t="s">
        <v>63</v>
      </c>
      <c r="B36" s="6">
        <f>IF('Operating Statement'!O41=0,"",'Operating Statement'!O41)</f>
        <v>445836.05599999998</v>
      </c>
      <c r="D36" s="6">
        <f>IF('Operating Statement'!Q41=0,"",'Operating Statement'!Q41)</f>
        <v>571265.24</v>
      </c>
      <c r="G36" s="2" t="s">
        <v>64</v>
      </c>
      <c r="H36" s="2">
        <f>ROUND(IFERROR(IF(SwitchRentRollType="Summary",SUMIF('Rent Roll Summary Input'!$A$8:$A$46,H40,'Rent Roll Summary Input'!$M$8:$M$46)/SUMIF('Rent Roll Summary Input'!$A$8:$A$46,H40,'Rent Roll Summary Input'!$D$8:$D$46),AVERAGEIFS('Rent Roll Detail Input'!$J$12:$J$1011,'Rent Roll Detail Input'!$P$12:$P$1011,H40,'Rent Roll Detail Input'!$J$12:$J$1011,"&lt;&gt;0")),0),0)</f>
        <v>0</v>
      </c>
      <c r="I36" s="2" t="str">
        <f t="shared" si="0"/>
        <v/>
      </c>
      <c r="J36">
        <f>IFERROR(ROUND(IF(SwitchRentRollType="Summary",AVERAGEIF('Rent Roll Summary Input'!$A$8:$A$46,$H40,'Rent Roll Summary Input'!$E$8:$E$46),AVERAGEIFS('Rent Roll Detail Input'!$I$12:$I$1011,'Rent Roll Detail Input'!$P$12:$P$1011,$H40,'Rent Roll Detail Input'!$J$12:$J$1011,"&lt;&gt;0")),2),0)</f>
        <v>0</v>
      </c>
    </row>
    <row r="37" spans="1:10">
      <c r="A37" s="8" t="s">
        <v>65</v>
      </c>
      <c r="B37" s="6">
        <f>IF('Pricing Detail'!N14=0,"",'Pricing Detail'!N14)</f>
        <v>445836.05599999998</v>
      </c>
      <c r="D37" s="6">
        <f>IF('Pricing Detail'!P14=0,"",'Pricing Detail'!P14)</f>
        <v>571265.24</v>
      </c>
      <c r="G37" s="2" t="s">
        <v>66</v>
      </c>
      <c r="H37" s="2">
        <f>ROUND(IFERROR(IF(SwitchRentRollType="Summary",SUMIF('Rent Roll Summary Input'!$A$8:$A$46,H41,'Rent Roll Summary Input'!$M$8:$M$46)/SUMIF('Rent Roll Summary Input'!$A$8:$A$46,H41,'Rent Roll Summary Input'!$D$8:$D$46),AVERAGEIFS('Rent Roll Detail Input'!$J$12:$J$1011,'Rent Roll Detail Input'!$P$12:$P$1011,H41,'Rent Roll Detail Input'!$J$12:$J$1011,"&lt;&gt;0")),0),0)</f>
        <v>0</v>
      </c>
      <c r="I37" s="2" t="str">
        <f t="shared" si="0"/>
        <v/>
      </c>
      <c r="J37">
        <f>IFERROR(ROUND(IF(SwitchRentRollType="Summary",AVERAGEIF('Rent Roll Summary Input'!$A$8:$A$46,$H41,'Rent Roll Summary Input'!$E$8:$E$46),AVERAGEIFS('Rent Roll Detail Input'!$I$12:$I$1011,'Rent Roll Detail Input'!$P$12:$P$1011,$H41,'Rent Roll Detail Input'!$J$12:$J$1011,"&lt;&gt;0")),2),0)</f>
        <v>0</v>
      </c>
    </row>
    <row r="38" spans="1:10">
      <c r="A38" s="8" t="s">
        <v>67</v>
      </c>
      <c r="B38" s="6">
        <f>IF('Pricing Detail'!N15=0,"",'Pricing Detail'!N15)</f>
        <v>360122.80971131654</v>
      </c>
      <c r="D38" s="6">
        <f>IF('Pricing Detail'!P15=0,"",'Pricing Detail'!P15)</f>
        <v>360122.80971131654</v>
      </c>
      <c r="F38" s="17"/>
      <c r="G38" s="2" t="s">
        <v>68</v>
      </c>
      <c r="H38" s="2">
        <f>ROUND(IFERROR(IF(SwitchRentRollType="Summary",SUMIF('Rent Roll Summary Input'!$A$8:$A$46,H42,'Rent Roll Summary Input'!$M$8:$M$46)/SUMIF('Rent Roll Summary Input'!$A$8:$A$46,H42,'Rent Roll Summary Input'!$D$8:$D$46),AVERAGEIFS('Rent Roll Detail Input'!$J$12:$J$1011,'Rent Roll Detail Input'!$P$12:$P$1011,H42,'Rent Roll Detail Input'!$J$12:$J$1011,"&lt;&gt;0")),0),0)</f>
        <v>0</v>
      </c>
      <c r="I38" s="2" t="str">
        <f t="shared" si="0"/>
        <v/>
      </c>
      <c r="J38">
        <f>IFERROR(ROUND(IF(SwitchRentRollType="Summary",AVERAGEIF('Rent Roll Summary Input'!$A$8:$A$46,$H42,'Rent Roll Summary Input'!$E$8:$E$46),AVERAGEIFS('Rent Roll Detail Input'!$I$12:$I$1011,'Rent Roll Detail Input'!$P$12:$P$1011,$H42,'Rent Roll Detail Input'!$J$12:$J$1011,"&lt;&gt;0")),2),0)</f>
        <v>0</v>
      </c>
    </row>
    <row r="39" spans="1:10">
      <c r="A39" s="8" t="s">
        <v>69</v>
      </c>
      <c r="B39" s="13">
        <f>IFERROR(IF('Pricing Detail'!G18="N/A","",'Pricing Detail'!G18),"")</f>
        <v>1.2380111561314133</v>
      </c>
      <c r="D39" s="9">
        <f>IFERROR(IF('Pricing Detail'!H18="N/A","",'Pricing Detail'!H18),"")</f>
        <v>1.5863067392424837</v>
      </c>
      <c r="G39" s="2" t="s">
        <v>70</v>
      </c>
      <c r="H39" s="2">
        <f>ROUND(IFERROR(IF(SwitchRentRollType="Summary",SUMIF('Rent Roll Summary Input'!$A$8:$A$46,H43,'Rent Roll Summary Input'!$M$8:$M$46)/SUMIF('Rent Roll Summary Input'!$A$8:$A$46,H43,'Rent Roll Summary Input'!$D$8:$D$46),AVERAGEIFS('Rent Roll Detail Input'!$J$12:$J$1011,'Rent Roll Detail Input'!$P$12:$P$1011,H43,'Rent Roll Detail Input'!$J$12:$J$1011,"&lt;&gt;0")),0),0)</f>
        <v>0</v>
      </c>
      <c r="I39" s="2" t="str">
        <f t="shared" si="0"/>
        <v/>
      </c>
      <c r="J39">
        <f>IFERROR(ROUND(IF(SwitchRentRollType="Summary",AVERAGEIF('Rent Roll Summary Input'!$A$8:$A$46,$H43,'Rent Roll Summary Input'!$E$8:$E$46),AVERAGEIFS('Rent Roll Detail Input'!$I$12:$I$1011,'Rent Roll Detail Input'!$P$12:$P$1011,$H43,'Rent Roll Detail Input'!$J$12:$J$1011,"&lt;&gt;0")),2),0)</f>
        <v>0</v>
      </c>
    </row>
    <row r="40" spans="1:10">
      <c r="A40" s="8" t="s">
        <v>71</v>
      </c>
      <c r="B40" s="12">
        <f>IF('Pricing Detail'!N16=0,"",'Pricing Detail'!N16)</f>
        <v>85713.24628868344</v>
      </c>
      <c r="C40" s="313">
        <f>IF(Input!$B$10="Unpriced","",'Pricing Detail'!M16)</f>
        <v>2.0371538036526068E-2</v>
      </c>
      <c r="D40" s="12">
        <f>IF('Pricing Detail'!P16=0,"",'Pricing Detail'!P16)</f>
        <v>211142.43028868345</v>
      </c>
      <c r="E40" s="313">
        <f>IF(Input!$B$10="Unpriced","",'Pricing Detail'!O16)</f>
        <v>5.0182395790536766E-2</v>
      </c>
      <c r="G40" s="2" t="s">
        <v>72</v>
      </c>
      <c r="H40" s="2">
        <f>ROUND(IFERROR(IF(SwitchRentRollType="Summary",SUMIF('Rent Roll Summary Input'!$A$8:$A$46,H44,'Rent Roll Summary Input'!$M$8:$M$46)/SUMIF('Rent Roll Summary Input'!$A$8:$A$46,H44,'Rent Roll Summary Input'!$D$8:$D$46),AVERAGEIFS('Rent Roll Detail Input'!$J$12:$J$1011,'Rent Roll Detail Input'!$P$12:$P$1011,H44,'Rent Roll Detail Input'!$J$12:$J$1011,"&lt;&gt;0")),0),0)</f>
        <v>0</v>
      </c>
      <c r="I40" s="2" t="str">
        <f t="shared" si="0"/>
        <v/>
      </c>
      <c r="J40">
        <f>IFERROR(ROUND(IF(SwitchRentRollType="Summary",AVERAGEIF('Rent Roll Summary Input'!$A$8:$A$46,$H44,'Rent Roll Summary Input'!$E$8:$E$46),AVERAGEIFS('Rent Roll Detail Input'!$I$12:$I$1011,'Rent Roll Detail Input'!$P$12:$P$1011,$H44,'Rent Roll Detail Input'!$J$12:$J$1011,"&lt;&gt;0")),2),0)</f>
        <v>0</v>
      </c>
    </row>
    <row r="41" spans="1:10">
      <c r="A41" s="8" t="s">
        <v>73</v>
      </c>
      <c r="B41" s="12">
        <f>IF('Pricing Detail'!N17=0,"",'Pricing Detail'!N17)</f>
        <v>66154.448956313965</v>
      </c>
      <c r="C41" s="267"/>
      <c r="D41" s="12">
        <f>IF('Pricing Detail'!P17=0,"",'Pricing Detail'!P17)</f>
        <v>70060.196461221756</v>
      </c>
    </row>
    <row r="42" spans="1:10">
      <c r="A42" s="8" t="s">
        <v>74</v>
      </c>
      <c r="B42" s="12">
        <f>IF('Pricing Detail'!N18=0,"",'Pricing Detail'!N18)</f>
        <v>151867.69524499739</v>
      </c>
      <c r="C42" s="268">
        <f>IF(Input!$B$10="Unpriced","",B14)</f>
        <v>3.6094520557337466E-2</v>
      </c>
      <c r="D42" s="12">
        <f>IF('Pricing Detail'!P18=0,"",'Pricing Detail'!P18)</f>
        <v>281202.62674990518</v>
      </c>
      <c r="E42" s="268">
        <f>IF(Input!$B$10="Unpriced","",B15)</f>
        <v>6.6833660546620363E-2</v>
      </c>
      <c r="G42" s="1" t="s">
        <v>75</v>
      </c>
    </row>
    <row r="43" spans="1:10">
      <c r="B43" s="19"/>
      <c r="G43" s="313">
        <f>1-'Operating Statement'!P9</f>
        <v>0.95</v>
      </c>
    </row>
    <row r="45" spans="1:10">
      <c r="B45" s="19"/>
    </row>
    <row r="47" spans="1:10">
      <c r="A47" s="1" t="s">
        <v>76</v>
      </c>
      <c r="B47" s="1" t="str">
        <f>B6</f>
        <v>Current</v>
      </c>
      <c r="C47" s="1" t="str">
        <f>B7</f>
        <v>Pro Forma</v>
      </c>
    </row>
    <row r="48" spans="1:10">
      <c r="A48" s="14" t="str">
        <f>IF('Operating Statement'!E24="","",'Operating Statement'!E24)</f>
        <v>Real Estate Taxes</v>
      </c>
      <c r="B48" s="6">
        <f>IF('Operating Statement'!O24=0,"",'Operating Statement'!O24)</f>
        <v>105655</v>
      </c>
      <c r="C48" s="6">
        <f>IF('Operating Statement'!Q24=0,"",'Operating Statement'!Q24)</f>
        <v>105655</v>
      </c>
    </row>
    <row r="49" spans="1:6">
      <c r="A49" s="14" t="str">
        <f>IF('Operating Statement'!E25="","",'Operating Statement'!E25)</f>
        <v>Insurance</v>
      </c>
      <c r="B49" s="6">
        <f>IF('Operating Statement'!O25=0,"",'Operating Statement'!O25)</f>
        <v>28074</v>
      </c>
      <c r="C49" s="6">
        <f>IF('Operating Statement'!Q25=0,"",'Operating Statement'!Q25)</f>
        <v>28074</v>
      </c>
      <c r="E49" s="1" t="s">
        <v>77</v>
      </c>
    </row>
    <row r="50" spans="1:6">
      <c r="A50" s="14" t="str">
        <f>IF('Operating Statement'!E26="","",'Operating Statement'!E26)</f>
        <v>Utilities - Electric</v>
      </c>
      <c r="B50" s="6" t="str">
        <f>IF('Operating Statement'!O26=0,"",'Operating Statement'!O26)</f>
        <v/>
      </c>
      <c r="C50" s="6" t="str">
        <f>IF('Operating Statement'!Q26=0,"",'Operating Statement'!Q26)</f>
        <v/>
      </c>
      <c r="E50" s="1" t="s">
        <v>78</v>
      </c>
      <c r="F50" s="1" t="s">
        <v>79</v>
      </c>
    </row>
    <row r="51" spans="1:6">
      <c r="A51" s="14" t="str">
        <f>IF('Operating Statement'!E27="","",'Operating Statement'!E27)</f>
        <v>Utilities - Water &amp; Power</v>
      </c>
      <c r="B51" s="6">
        <f>IF('Operating Statement'!O27=0,"",'Operating Statement'!O27)</f>
        <v>24945.48</v>
      </c>
      <c r="C51" s="6">
        <f>IF('Operating Statement'!Q27=0,"",'Operating Statement'!Q27)</f>
        <v>24945.48</v>
      </c>
      <c r="E51" s="6">
        <f>IF(SUM(C54:C56)=0,"",SUM(C54:C56))</f>
        <v>25050</v>
      </c>
      <c r="F51" s="6" t="str">
        <f>IF(SUM(D54:D56)=0,"",SUM(D54:D56))</f>
        <v/>
      </c>
    </row>
    <row r="52" spans="1:6">
      <c r="A52" s="14" t="str">
        <f>IF('Operating Statement'!E28="","",'Operating Statement'!E28)</f>
        <v>Utilities - Gas</v>
      </c>
      <c r="B52" s="6">
        <f>IF('Operating Statement'!O28=0,"",'Operating Statement'!O28)</f>
        <v>2979.2000000000003</v>
      </c>
      <c r="C52" s="6">
        <f>IF('Operating Statement'!Q28=0,"",'Operating Statement'!Q28)</f>
        <v>2979.2000000000003</v>
      </c>
    </row>
    <row r="53" spans="1:6">
      <c r="A53" s="14" t="str">
        <f>IF('Operating Statement'!E29="","",'Operating Statement'!E29)</f>
        <v>Trash Removal</v>
      </c>
      <c r="B53" s="6">
        <f>IF('Operating Statement'!O29=0,"",'Operating Statement'!O29)</f>
        <v>17699.64</v>
      </c>
      <c r="C53" s="6">
        <f>IF('Operating Statement'!Q29=0,"",'Operating Statement'!Q29)</f>
        <v>17699.64</v>
      </c>
    </row>
    <row r="54" spans="1:6">
      <c r="A54" s="14" t="str">
        <f>IF('Operating Statement'!E30="","",'Operating Statement'!E30)</f>
        <v>Repairs &amp; Maintenance</v>
      </c>
      <c r="B54" s="6">
        <f>IF('Operating Statement'!O30=0,"",'Operating Statement'!O30)</f>
        <v>20250</v>
      </c>
      <c r="C54" s="6">
        <f>IF('Operating Statement'!Q30=0,"",'Operating Statement'!Q30)</f>
        <v>20250</v>
      </c>
    </row>
    <row r="55" spans="1:6">
      <c r="A55" s="14" t="str">
        <f>IF('Operating Statement'!E31="","",'Operating Statement'!E31)</f>
        <v>Landscaping</v>
      </c>
      <c r="B55" s="6">
        <f>IF('Operating Statement'!O31=0,"",'Operating Statement'!O31)</f>
        <v>4800</v>
      </c>
      <c r="C55" s="6">
        <f>IF('Operating Statement'!Q31=0,"",'Operating Statement'!Q31)</f>
        <v>4800</v>
      </c>
    </row>
    <row r="56" spans="1:6">
      <c r="A56" s="14" t="str">
        <f>IF('Operating Statement'!E32="","",'Operating Statement'!E32)</f>
        <v>Marketing &amp; Advertising</v>
      </c>
      <c r="B56" s="6" t="str">
        <f>IF('Operating Statement'!O32=0,"",'Operating Statement'!O32)</f>
        <v/>
      </c>
      <c r="C56" s="6" t="str">
        <f>IF('Operating Statement'!Q32=0,"",'Operating Statement'!Q32)</f>
        <v/>
      </c>
    </row>
    <row r="57" spans="1:6">
      <c r="A57" s="14" t="str">
        <f>IF('Operating Statement'!E33="","",'Operating Statement'!E33)</f>
        <v>Pest Control</v>
      </c>
      <c r="B57" s="6">
        <f>IF('Operating Statement'!O33=0,"",'Operating Statement'!O33)</f>
        <v>700</v>
      </c>
      <c r="C57" s="6">
        <f>IF('Operating Statement'!Q33=0,"",'Operating Statement'!Q33)</f>
        <v>700</v>
      </c>
    </row>
    <row r="58" spans="1:6">
      <c r="A58" s="14" t="str">
        <f>IF('Operating Statement'!E37="","",'Operating Statement'!E37)</f>
        <v>Operating Reserves</v>
      </c>
      <c r="B58" s="6">
        <f>IF('Operating Statement'!O37=0,"",'Operating Statement'!O37)</f>
        <v>4050</v>
      </c>
      <c r="C58" s="6">
        <f>IF('Operating Statement'!Q37=0,"",'Operating Statement'!Q37)</f>
        <v>4050</v>
      </c>
    </row>
    <row r="59" spans="1:6">
      <c r="A59" s="14" t="str">
        <f>IF('Operating Statement'!E38="","",'Operating Statement'!E38)</f>
        <v>Management Fee</v>
      </c>
      <c r="B59" s="6">
        <f>IF('Operating Statement'!O38=0,"",'Operating Statement'!O38)</f>
        <v>28381.223999999998</v>
      </c>
      <c r="C59" s="6">
        <f>IF('Operating Statement'!Q38=0,"",'Operating Statement'!Q38)</f>
        <v>33607.440000000002</v>
      </c>
    </row>
    <row r="60" spans="1:6">
      <c r="A60" s="14" t="str">
        <f>IF('Operating Statement'!E34="","",'Operating Statement'!E34)</f>
        <v>Onsite Manager</v>
      </c>
      <c r="B60" s="6">
        <f>IF('Operating Statement'!O34=0,"",'Operating Statement'!O34)</f>
        <v>24000</v>
      </c>
      <c r="C60" s="6">
        <f>IF('Operating Statement'!Q34=0,"",'Operating Statement'!Q34)</f>
        <v>24000</v>
      </c>
    </row>
    <row r="61" spans="1:6">
      <c r="A61" s="14" t="str">
        <f>IF('Operating Statement'!E35="","",'Operating Statement'!E35)</f>
        <v>General &amp; Administrative</v>
      </c>
      <c r="B61" s="6">
        <f>IF('Operating Statement'!O35=0,"",'Operating Statement'!O35)</f>
        <v>2160</v>
      </c>
      <c r="C61" s="6">
        <f>IF('Operating Statement'!Q35=0,"",'Operating Statement'!Q35)</f>
        <v>2160</v>
      </c>
    </row>
    <row r="62" spans="1:6">
      <c r="A62" s="14" t="str">
        <f>IF('Operating Statement'!E36="","",'Operating Statement'!E36)</f>
        <v/>
      </c>
      <c r="B62" s="6" t="str">
        <f>IF('Operating Statement'!O36=0,"",'Operating Statement'!O36)</f>
        <v/>
      </c>
      <c r="C62" s="6" t="str">
        <f>IF('Operating Statement'!Q36=0,"",'Operating Statement'!Q36)</f>
        <v/>
      </c>
    </row>
    <row r="63" spans="1:6">
      <c r="A63" s="8" t="s">
        <v>80</v>
      </c>
      <c r="B63" s="6">
        <f>IF(SUM(C52:C66)=0,"",SUM(C52:C66))</f>
        <v>110246.28</v>
      </c>
      <c r="C63" s="6" t="str">
        <f>IF(SUM(D52:D66)=0,"",SUM(D52:D66))</f>
        <v/>
      </c>
    </row>
    <row r="64" spans="1:6">
      <c r="A64" s="8" t="s">
        <v>81</v>
      </c>
      <c r="B64" s="6">
        <f>IFERROR(C67/B29,"")</f>
        <v>0</v>
      </c>
      <c r="C64" s="6">
        <f>IFERROR(D67/B29,"")</f>
        <v>0</v>
      </c>
    </row>
    <row r="65" spans="1:3">
      <c r="A65" s="8" t="s">
        <v>82</v>
      </c>
      <c r="B65" s="7" t="str">
        <f>IFERROR(C67/D29,"")</f>
        <v/>
      </c>
      <c r="C65" s="7" t="str">
        <f>IFERROR(D67/D29,"")</f>
        <v/>
      </c>
    </row>
    <row r="66" spans="1:3">
      <c r="A66" s="8" t="s">
        <v>83</v>
      </c>
      <c r="B66" s="3" t="str">
        <f>IFERROR(C67/C38,"")</f>
        <v/>
      </c>
      <c r="C66" s="3" t="str">
        <f>IFERROR(D67/E38,"")</f>
        <v/>
      </c>
    </row>
    <row r="71" spans="1:3">
      <c r="A71" t="s">
        <v>84</v>
      </c>
    </row>
    <row r="72" spans="1:3">
      <c r="A72" s="2" t="s">
        <v>85</v>
      </c>
      <c r="B72" s="12">
        <f>IF('Equity Returns Options'!C10=0,"",ROUND('Equity Returns Options'!C10,0))</f>
        <v>9350000</v>
      </c>
    </row>
    <row r="73" spans="1:3">
      <c r="A73" s="2" t="s">
        <v>10</v>
      </c>
      <c r="B73" s="3" t="str">
        <f>IF('Equity Returns Options'!C21=0,"",'Equity Returns Options'!C21)</f>
        <v/>
      </c>
    </row>
    <row r="74" spans="1:3">
      <c r="A74" s="2" t="s">
        <v>12</v>
      </c>
      <c r="B74" s="2" t="str">
        <f>IF('Equity Returns Options'!C22=0,"",'Equity Returns Options'!C22)</f>
        <v/>
      </c>
    </row>
    <row r="75" spans="1:3">
      <c r="A75" s="2" t="s">
        <v>86</v>
      </c>
      <c r="B75" s="2" t="str">
        <f>IF('Equity Returns Options'!C23=0,"",'Equity Returns Options'!C23)</f>
        <v/>
      </c>
    </row>
  </sheetData>
  <printOptions horizontalCentered="1" verticalCentered="1"/>
  <pageMargins left="0.5" right="0.5" top="1.75" bottom="0.5" header="0" footer="0"/>
  <pageSetup scale="67" fitToHeight="0" orientation="landscape" cellComments="atEnd" r:id="rId1"/>
  <customProperties>
    <customPr name="GUID" r:id="rId2"/>
  </customProperties>
  <ignoredErrors>
    <ignoredError sqref="A29 D31 D35 D40" formula="1"/>
  </ignoredErrors>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pageSetUpPr fitToPage="1"/>
  </sheetPr>
  <dimension ref="A1:K63"/>
  <sheetViews>
    <sheetView topLeftCell="A22" workbookViewId="0">
      <selection activeCell="C59" sqref="C59"/>
    </sheetView>
  </sheetViews>
  <sheetFormatPr defaultColWidth="8.85546875" defaultRowHeight="12.75"/>
  <cols>
    <col min="1" max="1" width="28" bestFit="1" customWidth="1"/>
    <col min="3" max="3" width="13.42578125" bestFit="1" customWidth="1"/>
    <col min="4" max="4" width="18.42578125" bestFit="1" customWidth="1"/>
    <col min="6" max="6" width="22" bestFit="1" customWidth="1"/>
  </cols>
  <sheetData>
    <row r="1" spans="1:11">
      <c r="A1" t="s">
        <v>87</v>
      </c>
      <c r="F1" t="s">
        <v>88</v>
      </c>
      <c r="G1" t="s">
        <v>89</v>
      </c>
      <c r="H1" s="17" t="s">
        <v>90</v>
      </c>
      <c r="J1" t="s">
        <v>91</v>
      </c>
    </row>
    <row r="2" spans="1:11">
      <c r="A2" t="s">
        <v>92</v>
      </c>
      <c r="G2" t="s">
        <v>89</v>
      </c>
      <c r="H2" s="17" t="s">
        <v>93</v>
      </c>
      <c r="J2" t="s">
        <v>94</v>
      </c>
      <c r="K2">
        <f>'Operating Statement'!AA2+2</f>
        <v>2</v>
      </c>
    </row>
    <row r="3" spans="1:11">
      <c r="A3" t="s">
        <v>95</v>
      </c>
      <c r="G3" t="s">
        <v>89</v>
      </c>
      <c r="H3" s="17" t="s">
        <v>96</v>
      </c>
      <c r="J3" t="s">
        <v>97</v>
      </c>
      <c r="K3" t="str">
        <f>'Operating Statement'!I4</f>
        <v>Prior 3</v>
      </c>
    </row>
    <row r="4" spans="1:11">
      <c r="A4" t="s">
        <v>98</v>
      </c>
      <c r="G4" t="s">
        <v>89</v>
      </c>
      <c r="H4" s="17" t="s">
        <v>99</v>
      </c>
      <c r="J4" t="s">
        <v>100</v>
      </c>
      <c r="K4" t="str">
        <f>'Operating Statement'!K4</f>
        <v>Prior 2</v>
      </c>
    </row>
    <row r="5" spans="1:11">
      <c r="G5" t="s">
        <v>89</v>
      </c>
      <c r="H5" s="17" t="s">
        <v>101</v>
      </c>
      <c r="J5" t="s">
        <v>102</v>
      </c>
      <c r="K5" t="str">
        <f>'Operating Statement'!M4</f>
        <v>Prior 1</v>
      </c>
    </row>
    <row r="6" spans="1:11">
      <c r="G6" t="s">
        <v>89</v>
      </c>
      <c r="H6" s="17" t="s">
        <v>103</v>
      </c>
      <c r="J6" t="s">
        <v>104</v>
      </c>
      <c r="K6" t="str">
        <f>'Operating Statement'!O4</f>
        <v>Current</v>
      </c>
    </row>
    <row r="7" spans="1:11">
      <c r="A7" t="s">
        <v>105</v>
      </c>
      <c r="G7" t="s">
        <v>89</v>
      </c>
      <c r="H7" s="17" t="s">
        <v>106</v>
      </c>
      <c r="J7" t="s">
        <v>107</v>
      </c>
      <c r="K7" t="str">
        <f>'Operating Statement'!Q4</f>
        <v>Pro Forma</v>
      </c>
    </row>
    <row r="8" spans="1:11">
      <c r="A8" t="s">
        <v>108</v>
      </c>
    </row>
    <row r="9" spans="1:11">
      <c r="A9" t="s">
        <v>109</v>
      </c>
    </row>
    <row r="10" spans="1:11">
      <c r="A10" t="s">
        <v>110</v>
      </c>
    </row>
    <row r="11" spans="1:11">
      <c r="A11" t="s">
        <v>111</v>
      </c>
    </row>
    <row r="14" spans="1:11">
      <c r="A14" t="s">
        <v>58</v>
      </c>
    </row>
    <row r="15" spans="1:11">
      <c r="A15" t="s">
        <v>60</v>
      </c>
    </row>
    <row r="16" spans="1:11">
      <c r="A16" t="s">
        <v>62</v>
      </c>
    </row>
    <row r="17" spans="1:2">
      <c r="A17" t="s">
        <v>64</v>
      </c>
    </row>
    <row r="18" spans="1:2">
      <c r="A18" t="s">
        <v>66</v>
      </c>
    </row>
    <row r="19" spans="1:2">
      <c r="A19" t="s">
        <v>72</v>
      </c>
    </row>
    <row r="20" spans="1:2">
      <c r="A20" t="s">
        <v>68</v>
      </c>
    </row>
    <row r="21" spans="1:2">
      <c r="A21" t="s">
        <v>70</v>
      </c>
    </row>
    <row r="25" spans="1:2">
      <c r="A25" t="s">
        <v>112</v>
      </c>
      <c r="B25" t="s">
        <v>58</v>
      </c>
    </row>
    <row r="26" spans="1:2">
      <c r="A26" t="s">
        <v>113</v>
      </c>
      <c r="B26" t="s">
        <v>60</v>
      </c>
    </row>
    <row r="27" spans="1:2">
      <c r="A27" t="s">
        <v>114</v>
      </c>
      <c r="B27" t="s">
        <v>62</v>
      </c>
    </row>
    <row r="28" spans="1:2">
      <c r="A28" t="s">
        <v>115</v>
      </c>
      <c r="B28" t="s">
        <v>64</v>
      </c>
    </row>
    <row r="29" spans="1:2">
      <c r="A29" t="s">
        <v>116</v>
      </c>
      <c r="B29" t="s">
        <v>66</v>
      </c>
    </row>
    <row r="30" spans="1:2">
      <c r="A30" t="s">
        <v>117</v>
      </c>
      <c r="B30" t="s">
        <v>72</v>
      </c>
    </row>
    <row r="31" spans="1:2">
      <c r="A31" t="s">
        <v>118</v>
      </c>
      <c r="B31" t="s">
        <v>68</v>
      </c>
    </row>
    <row r="32" spans="1:2">
      <c r="A32" t="s">
        <v>119</v>
      </c>
      <c r="B32" t="s">
        <v>70</v>
      </c>
    </row>
    <row r="34" spans="1:9">
      <c r="A34" t="s">
        <v>120</v>
      </c>
    </row>
    <row r="35" spans="1:9">
      <c r="A35">
        <v>1</v>
      </c>
    </row>
    <row r="36" spans="1:9">
      <c r="A36">
        <v>2</v>
      </c>
    </row>
    <row r="37" spans="1:9">
      <c r="A37">
        <v>3</v>
      </c>
    </row>
    <row r="38" spans="1:9">
      <c r="A38">
        <v>4</v>
      </c>
    </row>
    <row r="39" spans="1:9">
      <c r="A39" t="s">
        <v>120</v>
      </c>
    </row>
    <row r="40" spans="1:9">
      <c r="B40">
        <v>4</v>
      </c>
      <c r="C40">
        <v>5</v>
      </c>
      <c r="D40">
        <v>1</v>
      </c>
    </row>
    <row r="41" spans="1:9">
      <c r="B41" t="s">
        <v>121</v>
      </c>
      <c r="C41" t="s">
        <v>122</v>
      </c>
      <c r="D41" t="s">
        <v>123</v>
      </c>
      <c r="E41" t="s">
        <v>124</v>
      </c>
    </row>
    <row r="42" spans="1:9">
      <c r="A42" t="s">
        <v>125</v>
      </c>
      <c r="B42" t="s">
        <v>126</v>
      </c>
      <c r="C42" t="s">
        <v>127</v>
      </c>
      <c r="D42" t="s">
        <v>127</v>
      </c>
      <c r="E42" t="s">
        <v>126</v>
      </c>
      <c r="I42" t="s">
        <v>128</v>
      </c>
    </row>
    <row r="43" spans="1:9">
      <c r="A43" t="s">
        <v>129</v>
      </c>
      <c r="B43">
        <v>0.7</v>
      </c>
      <c r="E43" s="566"/>
      <c r="I43" t="s">
        <v>130</v>
      </c>
    </row>
    <row r="44" spans="1:9">
      <c r="A44" t="s">
        <v>131</v>
      </c>
      <c r="B44">
        <v>0.05</v>
      </c>
      <c r="E44" s="566"/>
    </row>
    <row r="45" spans="1:9">
      <c r="A45" t="s">
        <v>132</v>
      </c>
      <c r="B45">
        <v>30</v>
      </c>
    </row>
    <row r="46" spans="1:9">
      <c r="A46" t="s">
        <v>133</v>
      </c>
      <c r="B46">
        <v>10</v>
      </c>
      <c r="I46" t="s">
        <v>134</v>
      </c>
    </row>
    <row r="47" spans="1:9">
      <c r="A47" t="s">
        <v>135</v>
      </c>
    </row>
    <row r="48" spans="1:9">
      <c r="A48" t="s">
        <v>136</v>
      </c>
    </row>
    <row r="49" spans="1:3">
      <c r="A49" t="s">
        <v>137</v>
      </c>
    </row>
    <row r="50" spans="1:3">
      <c r="A50" t="s">
        <v>138</v>
      </c>
    </row>
    <row r="51" spans="1:3">
      <c r="C51" t="s">
        <v>139</v>
      </c>
    </row>
    <row r="52" spans="1:3">
      <c r="A52" t="s">
        <v>140</v>
      </c>
      <c r="C52" t="s">
        <v>141</v>
      </c>
    </row>
    <row r="53" spans="1:3">
      <c r="A53" t="s">
        <v>142</v>
      </c>
      <c r="C53" t="s">
        <v>143</v>
      </c>
    </row>
    <row r="54" spans="1:3">
      <c r="A54" t="s">
        <v>127</v>
      </c>
      <c r="C54" t="s">
        <v>144</v>
      </c>
    </row>
    <row r="56" spans="1:3">
      <c r="A56" t="str">
        <f>C56&amp;" and "&amp;C57</f>
        <v>Current and Scheduled</v>
      </c>
      <c r="C56" t="str">
        <f>'Rent Roll Summary'!F8</f>
        <v>Current</v>
      </c>
    </row>
    <row r="57" spans="1:3">
      <c r="A57" t="str">
        <f>C56&amp;" and "&amp;C58</f>
        <v>Current and Potential</v>
      </c>
      <c r="C57" t="s">
        <v>145</v>
      </c>
    </row>
    <row r="58" spans="1:3">
      <c r="A58" t="str">
        <f>C57&amp;" and "&amp;C58</f>
        <v>Scheduled and Potential</v>
      </c>
      <c r="C58" t="s">
        <v>40</v>
      </c>
    </row>
    <row r="60" spans="1:3">
      <c r="A60" t="s">
        <v>123</v>
      </c>
    </row>
    <row r="61" spans="1:3">
      <c r="A61" t="s">
        <v>124</v>
      </c>
    </row>
    <row r="62" spans="1:3">
      <c r="A62" t="s">
        <v>121</v>
      </c>
    </row>
    <row r="63" spans="1:3">
      <c r="A63" t="s">
        <v>122</v>
      </c>
    </row>
  </sheetData>
  <printOptions horizontalCentered="1" verticalCentered="1"/>
  <pageMargins left="0.5" right="0.5" top="1.75" bottom="0.5" header="0" footer="0"/>
  <pageSetup scale="85" fitToHeight="0" orientation="landscape" cellComments="atEnd" verticalDpi="200" r:id="rId1"/>
  <customProperties>
    <customPr name="GU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pageSetUpPr fitToPage="1"/>
  </sheetPr>
  <dimension ref="A1:H846"/>
  <sheetViews>
    <sheetView workbookViewId="0">
      <pane ySplit="1" topLeftCell="A717" activePane="bottomLeft" state="frozen"/>
      <selection pane="bottomLeft" activeCell="A804" sqref="A804:XFD1167"/>
    </sheetView>
  </sheetViews>
  <sheetFormatPr defaultColWidth="9.140625" defaultRowHeight="15"/>
  <cols>
    <col min="1" max="1" width="23.42578125" style="454" customWidth="1"/>
    <col min="2" max="2" width="7.5703125" style="454" customWidth="1"/>
    <col min="3" max="3" width="28.5703125" style="454" customWidth="1"/>
    <col min="4" max="4" width="13.42578125" style="454" customWidth="1"/>
    <col min="5" max="5" width="24.5703125" style="454" customWidth="1"/>
    <col min="6" max="6" width="6" style="454" customWidth="1"/>
    <col min="7" max="7" width="11.5703125" style="454" customWidth="1"/>
    <col min="8" max="8" width="24.85546875" style="454" customWidth="1"/>
    <col min="9" max="16384" width="9.140625" style="454"/>
  </cols>
  <sheetData>
    <row r="1" spans="1:8">
      <c r="A1" s="453" t="s">
        <v>146</v>
      </c>
      <c r="B1" s="453" t="s">
        <v>147</v>
      </c>
      <c r="C1" s="453" t="s">
        <v>148</v>
      </c>
      <c r="E1" s="453" t="s">
        <v>146</v>
      </c>
      <c r="F1" s="453" t="s">
        <v>147</v>
      </c>
      <c r="G1" s="453" t="s">
        <v>148</v>
      </c>
      <c r="H1" s="453" t="s">
        <v>149</v>
      </c>
    </row>
    <row r="2" spans="1:8">
      <c r="A2" s="454" t="s">
        <v>150</v>
      </c>
      <c r="B2" s="454" t="s">
        <v>151</v>
      </c>
      <c r="E2" s="454" t="s">
        <v>150</v>
      </c>
      <c r="F2" s="454" t="s">
        <v>152</v>
      </c>
      <c r="G2" s="455" t="s">
        <v>153</v>
      </c>
      <c r="H2" s="454" t="str">
        <f>E2&amp;"!"&amp;F2</f>
        <v>Input!B10</v>
      </c>
    </row>
    <row r="3" spans="1:8">
      <c r="A3" s="454" t="s">
        <v>150</v>
      </c>
      <c r="B3" s="454" t="s">
        <v>154</v>
      </c>
      <c r="E3" s="454" t="s">
        <v>150</v>
      </c>
      <c r="F3" s="454" t="s">
        <v>155</v>
      </c>
      <c r="G3" s="455" t="s">
        <v>156</v>
      </c>
      <c r="H3" s="454" t="str">
        <f t="shared" ref="H3:H13" si="0">E3&amp;"!"&amp;F3</f>
        <v>Input!B16</v>
      </c>
    </row>
    <row r="4" spans="1:8">
      <c r="A4" s="454" t="s">
        <v>150</v>
      </c>
      <c r="B4" s="454" t="s">
        <v>157</v>
      </c>
      <c r="E4" s="454" t="s">
        <v>150</v>
      </c>
      <c r="F4" s="454" t="s">
        <v>158</v>
      </c>
      <c r="G4" s="455" t="s">
        <v>126</v>
      </c>
      <c r="H4" s="454" t="str">
        <f t="shared" si="0"/>
        <v>Input!B17</v>
      </c>
    </row>
    <row r="5" spans="1:8">
      <c r="A5" s="454" t="s">
        <v>150</v>
      </c>
      <c r="B5" s="454" t="s">
        <v>159</v>
      </c>
      <c r="E5" s="454" t="s">
        <v>150</v>
      </c>
      <c r="F5" s="454" t="s">
        <v>160</v>
      </c>
      <c r="G5" s="455">
        <v>0</v>
      </c>
      <c r="H5" s="454" t="str">
        <f t="shared" si="0"/>
        <v>Input!B18</v>
      </c>
    </row>
    <row r="6" spans="1:8">
      <c r="A6" s="454" t="s">
        <v>150</v>
      </c>
      <c r="B6" s="454" t="s">
        <v>161</v>
      </c>
      <c r="E6" s="454" t="s">
        <v>150</v>
      </c>
      <c r="F6" s="454" t="s">
        <v>162</v>
      </c>
      <c r="G6" s="455" t="s">
        <v>127</v>
      </c>
      <c r="H6" s="454" t="str">
        <f t="shared" si="0"/>
        <v>Input!B30</v>
      </c>
    </row>
    <row r="7" spans="1:8">
      <c r="A7" s="454" t="s">
        <v>150</v>
      </c>
      <c r="B7" s="454" t="s">
        <v>163</v>
      </c>
      <c r="E7" s="454" t="s">
        <v>150</v>
      </c>
      <c r="F7" s="454" t="s">
        <v>164</v>
      </c>
      <c r="G7" s="455" t="s">
        <v>127</v>
      </c>
      <c r="H7" s="454" t="str">
        <f t="shared" si="0"/>
        <v>Input!B36</v>
      </c>
    </row>
    <row r="8" spans="1:8">
      <c r="A8" s="454" t="s">
        <v>150</v>
      </c>
      <c r="B8" s="454" t="s">
        <v>165</v>
      </c>
      <c r="E8" s="454" t="s">
        <v>150</v>
      </c>
      <c r="F8" s="454" t="s">
        <v>166</v>
      </c>
      <c r="G8" s="455" t="s">
        <v>167</v>
      </c>
      <c r="H8" s="454" t="str">
        <f t="shared" si="0"/>
        <v>Input!B39</v>
      </c>
    </row>
    <row r="9" spans="1:8">
      <c r="A9" s="454" t="s">
        <v>150</v>
      </c>
      <c r="B9" s="454" t="s">
        <v>168</v>
      </c>
      <c r="E9" s="454" t="s">
        <v>150</v>
      </c>
      <c r="F9" s="454" t="s">
        <v>169</v>
      </c>
      <c r="G9" s="455" t="s">
        <v>127</v>
      </c>
      <c r="H9" s="454" t="str">
        <f t="shared" si="0"/>
        <v>Input!B40</v>
      </c>
    </row>
    <row r="10" spans="1:8">
      <c r="A10" s="454" t="s">
        <v>150</v>
      </c>
      <c r="B10" s="454" t="s">
        <v>170</v>
      </c>
      <c r="E10" s="454" t="s">
        <v>150</v>
      </c>
      <c r="F10" s="454" t="s">
        <v>171</v>
      </c>
      <c r="G10" s="455" t="s">
        <v>127</v>
      </c>
      <c r="H10" s="454" t="str">
        <f t="shared" si="0"/>
        <v>Input!B41</v>
      </c>
    </row>
    <row r="11" spans="1:8">
      <c r="A11" s="454" t="s">
        <v>150</v>
      </c>
      <c r="B11" s="454" t="s">
        <v>172</v>
      </c>
      <c r="E11" s="454" t="s">
        <v>150</v>
      </c>
      <c r="F11" s="454" t="s">
        <v>173</v>
      </c>
      <c r="G11" s="455" t="s">
        <v>127</v>
      </c>
      <c r="H11" s="454" t="str">
        <f t="shared" si="0"/>
        <v>Input!B43</v>
      </c>
    </row>
    <row r="12" spans="1:8">
      <c r="A12" s="454" t="s">
        <v>150</v>
      </c>
      <c r="B12" s="454" t="s">
        <v>174</v>
      </c>
      <c r="E12" s="454" t="s">
        <v>150</v>
      </c>
      <c r="F12" s="454" t="s">
        <v>175</v>
      </c>
      <c r="G12" s="454" t="s">
        <v>39</v>
      </c>
      <c r="H12" s="454" t="str">
        <f t="shared" si="0"/>
        <v>Input!B56</v>
      </c>
    </row>
    <row r="13" spans="1:8">
      <c r="A13" s="454" t="s">
        <v>150</v>
      </c>
      <c r="B13" s="454" t="s">
        <v>176</v>
      </c>
      <c r="E13" s="454" t="s">
        <v>150</v>
      </c>
      <c r="F13" s="454" t="s">
        <v>177</v>
      </c>
      <c r="G13" s="454" t="s">
        <v>39</v>
      </c>
      <c r="H13" s="454" t="str">
        <f t="shared" si="0"/>
        <v>Input!D41</v>
      </c>
    </row>
    <row r="14" spans="1:8">
      <c r="A14" s="454" t="s">
        <v>150</v>
      </c>
      <c r="B14" s="454" t="s">
        <v>178</v>
      </c>
      <c r="E14" s="454" t="s">
        <v>179</v>
      </c>
      <c r="F14" s="454" t="s">
        <v>180</v>
      </c>
      <c r="G14" s="455" t="s">
        <v>127</v>
      </c>
      <c r="H14" s="454" t="str">
        <f t="shared" ref="H14" si="1">E14&amp;"!"&amp;F14</f>
        <v>Rent Roll Detail Input!I8</v>
      </c>
    </row>
    <row r="15" spans="1:8">
      <c r="A15" s="454" t="s">
        <v>150</v>
      </c>
      <c r="B15" s="454" t="s">
        <v>181</v>
      </c>
      <c r="E15" s="454" t="s">
        <v>182</v>
      </c>
      <c r="F15" s="454" t="s">
        <v>183</v>
      </c>
      <c r="G15" s="455" t="s">
        <v>127</v>
      </c>
      <c r="H15" s="454" t="str">
        <f t="shared" ref="H15:H31" si="2">E15&amp;"!"&amp;F15</f>
        <v>Rent Roll Summary Input!R12</v>
      </c>
    </row>
    <row r="16" spans="1:8">
      <c r="A16" s="454" t="s">
        <v>150</v>
      </c>
      <c r="B16" s="454" t="s">
        <v>184</v>
      </c>
      <c r="E16" s="454" t="s">
        <v>185</v>
      </c>
      <c r="F16" s="454" t="s">
        <v>186</v>
      </c>
      <c r="G16" s="455" t="s">
        <v>39</v>
      </c>
      <c r="H16" s="454" t="str">
        <f t="shared" si="2"/>
        <v>Rent Roll Summary!C4</v>
      </c>
    </row>
    <row r="17" spans="1:8">
      <c r="A17" s="454" t="s">
        <v>150</v>
      </c>
      <c r="B17" s="454" t="s">
        <v>187</v>
      </c>
      <c r="E17" s="454" t="s">
        <v>185</v>
      </c>
      <c r="F17" s="454" t="s">
        <v>188</v>
      </c>
      <c r="G17" s="455" t="s">
        <v>189</v>
      </c>
      <c r="H17" s="454" t="str">
        <f t="shared" si="2"/>
        <v>Rent Roll Summary!C5</v>
      </c>
    </row>
    <row r="18" spans="1:8">
      <c r="A18" s="454" t="s">
        <v>150</v>
      </c>
      <c r="B18" s="454" t="s">
        <v>190</v>
      </c>
      <c r="E18" s="454" t="s">
        <v>191</v>
      </c>
      <c r="F18" s="454" t="s">
        <v>192</v>
      </c>
      <c r="G18" s="455">
        <v>0</v>
      </c>
      <c r="H18" s="454" t="str">
        <f t="shared" si="2"/>
        <v>Operating Statement!AA2</v>
      </c>
    </row>
    <row r="19" spans="1:8">
      <c r="A19" s="454" t="s">
        <v>150</v>
      </c>
      <c r="B19" s="454" t="s">
        <v>193</v>
      </c>
      <c r="E19" s="454" t="s">
        <v>191</v>
      </c>
      <c r="F19" s="454" t="s">
        <v>194</v>
      </c>
      <c r="G19" s="455" t="s">
        <v>195</v>
      </c>
      <c r="H19" s="454" t="str">
        <f t="shared" si="2"/>
        <v>Operating Statement!AA3</v>
      </c>
    </row>
    <row r="20" spans="1:8">
      <c r="A20" s="454" t="s">
        <v>150</v>
      </c>
      <c r="B20" s="454" t="s">
        <v>196</v>
      </c>
      <c r="E20" s="454" t="s">
        <v>197</v>
      </c>
      <c r="F20" s="454" t="s">
        <v>198</v>
      </c>
      <c r="G20" s="454" t="s">
        <v>199</v>
      </c>
      <c r="H20" s="454" t="str">
        <f t="shared" si="2"/>
        <v>Pricing Detail!V3</v>
      </c>
    </row>
    <row r="21" spans="1:8">
      <c r="A21" s="454" t="s">
        <v>150</v>
      </c>
      <c r="B21" s="454" t="s">
        <v>200</v>
      </c>
      <c r="E21" s="454" t="s">
        <v>201</v>
      </c>
      <c r="F21" s="454" t="s">
        <v>202</v>
      </c>
      <c r="G21" s="454">
        <v>5</v>
      </c>
      <c r="H21" s="454" t="str">
        <f t="shared" si="2"/>
        <v>Proposal Price IRR!Q3</v>
      </c>
    </row>
    <row r="22" spans="1:8">
      <c r="A22" s="454" t="s">
        <v>150</v>
      </c>
      <c r="B22" s="454" t="s">
        <v>203</v>
      </c>
      <c r="E22" s="454" t="s">
        <v>201</v>
      </c>
      <c r="F22" s="454" t="s">
        <v>204</v>
      </c>
      <c r="G22" s="454" t="s">
        <v>205</v>
      </c>
      <c r="H22" s="454" t="str">
        <f t="shared" si="2"/>
        <v>Proposal Price IRR!Q4</v>
      </c>
    </row>
    <row r="23" spans="1:8">
      <c r="A23" s="454" t="s">
        <v>150</v>
      </c>
      <c r="B23" s="454" t="s">
        <v>206</v>
      </c>
      <c r="E23" s="454" t="s">
        <v>207</v>
      </c>
      <c r="F23" s="454" t="s">
        <v>208</v>
      </c>
      <c r="G23" s="454">
        <v>5</v>
      </c>
      <c r="H23" s="454" t="str">
        <f t="shared" si="2"/>
        <v>Proposal Price!O3</v>
      </c>
    </row>
    <row r="24" spans="1:8">
      <c r="A24" s="454" t="s">
        <v>150</v>
      </c>
      <c r="B24" s="454" t="s">
        <v>209</v>
      </c>
      <c r="E24" s="454" t="s">
        <v>207</v>
      </c>
      <c r="F24" s="454" t="s">
        <v>210</v>
      </c>
      <c r="G24" s="454" t="s">
        <v>205</v>
      </c>
      <c r="H24" s="454" t="str">
        <f t="shared" si="2"/>
        <v>Proposal Price!O4</v>
      </c>
    </row>
    <row r="25" spans="1:8">
      <c r="A25" s="454" t="s">
        <v>150</v>
      </c>
      <c r="B25" s="454" t="s">
        <v>211</v>
      </c>
      <c r="E25" s="454" t="s">
        <v>212</v>
      </c>
      <c r="F25" s="454" t="s">
        <v>213</v>
      </c>
      <c r="G25" s="454">
        <v>5</v>
      </c>
      <c r="H25" s="454" t="str">
        <f t="shared" si="2"/>
        <v>Proposal Price IRR Unlevered!P3</v>
      </c>
    </row>
    <row r="26" spans="1:8">
      <c r="A26" s="454" t="s">
        <v>150</v>
      </c>
      <c r="B26" s="454" t="s">
        <v>214</v>
      </c>
      <c r="E26" s="454" t="s">
        <v>212</v>
      </c>
      <c r="F26" s="454" t="s">
        <v>215</v>
      </c>
      <c r="G26" s="454" t="s">
        <v>205</v>
      </c>
      <c r="H26" s="454" t="str">
        <f t="shared" si="2"/>
        <v>Proposal Price IRR Unlevered!P4</v>
      </c>
    </row>
    <row r="27" spans="1:8">
      <c r="A27" s="454" t="s">
        <v>150</v>
      </c>
      <c r="B27" s="454" t="s">
        <v>216</v>
      </c>
      <c r="E27" s="454" t="s">
        <v>217</v>
      </c>
      <c r="F27" s="454" t="s">
        <v>218</v>
      </c>
      <c r="G27" s="455" t="s">
        <v>78</v>
      </c>
      <c r="H27" s="454" t="str">
        <f t="shared" si="2"/>
        <v>Equity Returns Options!I2</v>
      </c>
    </row>
    <row r="28" spans="1:8">
      <c r="A28" s="454" t="s">
        <v>150</v>
      </c>
      <c r="B28" s="454" t="s">
        <v>219</v>
      </c>
      <c r="E28" s="454" t="s">
        <v>217</v>
      </c>
      <c r="F28" s="454" t="s">
        <v>220</v>
      </c>
      <c r="G28" s="455" t="s">
        <v>120</v>
      </c>
      <c r="H28" s="454" t="str">
        <f t="shared" si="2"/>
        <v>Equity Returns Options!F9</v>
      </c>
    </row>
    <row r="29" spans="1:8">
      <c r="A29" s="454" t="s">
        <v>150</v>
      </c>
      <c r="B29" s="454" t="s">
        <v>221</v>
      </c>
      <c r="E29" s="454" t="s">
        <v>217</v>
      </c>
      <c r="F29" s="454" t="s">
        <v>222</v>
      </c>
      <c r="G29" s="455">
        <v>1</v>
      </c>
      <c r="H29" s="454" t="str">
        <f t="shared" si="2"/>
        <v>Equity Returns Options!F6</v>
      </c>
    </row>
    <row r="30" spans="1:8">
      <c r="A30" s="454" t="s">
        <v>223</v>
      </c>
      <c r="B30" s="454" t="s">
        <v>224</v>
      </c>
      <c r="E30" s="454" t="s">
        <v>217</v>
      </c>
      <c r="F30" s="454" t="s">
        <v>225</v>
      </c>
      <c r="G30" s="455">
        <v>2</v>
      </c>
      <c r="H30" s="454" t="str">
        <f t="shared" si="2"/>
        <v>Equity Returns Options!F7</v>
      </c>
    </row>
    <row r="31" spans="1:8">
      <c r="A31" s="454" t="s">
        <v>223</v>
      </c>
      <c r="B31" s="454" t="s">
        <v>226</v>
      </c>
      <c r="E31" s="454" t="s">
        <v>217</v>
      </c>
      <c r="F31" s="454" t="s">
        <v>227</v>
      </c>
      <c r="G31" s="455">
        <v>3</v>
      </c>
      <c r="H31" s="454" t="str">
        <f t="shared" si="2"/>
        <v>Equity Returns Options!F8</v>
      </c>
    </row>
    <row r="32" spans="1:8">
      <c r="A32" s="454" t="s">
        <v>223</v>
      </c>
      <c r="B32" s="454" t="s">
        <v>228</v>
      </c>
    </row>
    <row r="33" spans="1:3">
      <c r="A33" s="454" t="s">
        <v>223</v>
      </c>
      <c r="B33" s="454" t="s">
        <v>229</v>
      </c>
    </row>
    <row r="34" spans="1:3">
      <c r="A34" s="454" t="s">
        <v>223</v>
      </c>
      <c r="B34" s="454" t="s">
        <v>230</v>
      </c>
    </row>
    <row r="35" spans="1:3">
      <c r="A35" s="454" t="s">
        <v>223</v>
      </c>
      <c r="B35" s="454" t="s">
        <v>231</v>
      </c>
    </row>
    <row r="36" spans="1:3">
      <c r="A36" s="454" t="s">
        <v>223</v>
      </c>
      <c r="B36" s="454" t="s">
        <v>232</v>
      </c>
    </row>
    <row r="37" spans="1:3">
      <c r="A37" s="454" t="s">
        <v>223</v>
      </c>
      <c r="B37" s="454" t="s">
        <v>233</v>
      </c>
    </row>
    <row r="38" spans="1:3">
      <c r="A38" s="454" t="s">
        <v>182</v>
      </c>
      <c r="B38" s="454" t="s">
        <v>234</v>
      </c>
      <c r="C38" s="454" t="s">
        <v>235</v>
      </c>
    </row>
    <row r="39" spans="1:3">
      <c r="A39" s="454" t="s">
        <v>182</v>
      </c>
      <c r="B39" s="454" t="s">
        <v>151</v>
      </c>
    </row>
    <row r="40" spans="1:3">
      <c r="A40" s="454" t="s">
        <v>182</v>
      </c>
      <c r="B40" s="454" t="s">
        <v>236</v>
      </c>
    </row>
    <row r="41" spans="1:3">
      <c r="A41" s="454" t="s">
        <v>182</v>
      </c>
      <c r="B41" s="454" t="s">
        <v>237</v>
      </c>
    </row>
    <row r="42" spans="1:3">
      <c r="A42" s="454" t="s">
        <v>182</v>
      </c>
      <c r="B42" s="454" t="s">
        <v>238</v>
      </c>
    </row>
    <row r="43" spans="1:3">
      <c r="A43" s="454" t="s">
        <v>182</v>
      </c>
      <c r="B43" s="454" t="s">
        <v>227</v>
      </c>
    </row>
    <row r="44" spans="1:3">
      <c r="A44" s="454" t="s">
        <v>182</v>
      </c>
      <c r="B44" s="454" t="s">
        <v>239</v>
      </c>
    </row>
    <row r="45" spans="1:3">
      <c r="A45" s="454" t="s">
        <v>182</v>
      </c>
      <c r="B45" s="454" t="s">
        <v>240</v>
      </c>
    </row>
    <row r="46" spans="1:3">
      <c r="A46" s="454" t="s">
        <v>182</v>
      </c>
      <c r="B46" s="454" t="s">
        <v>180</v>
      </c>
    </row>
    <row r="47" spans="1:3">
      <c r="A47" s="454" t="s">
        <v>182</v>
      </c>
      <c r="B47" s="454" t="s">
        <v>241</v>
      </c>
      <c r="C47" s="454">
        <v>60000</v>
      </c>
    </row>
    <row r="48" spans="1:3">
      <c r="A48" s="454" t="s">
        <v>182</v>
      </c>
      <c r="B48" s="454" t="s">
        <v>242</v>
      </c>
    </row>
    <row r="49" spans="1:2">
      <c r="A49" s="454" t="s">
        <v>182</v>
      </c>
      <c r="B49" s="454" t="s">
        <v>243</v>
      </c>
    </row>
    <row r="50" spans="1:2">
      <c r="A50" s="454" t="s">
        <v>182</v>
      </c>
      <c r="B50" s="454" t="s">
        <v>224</v>
      </c>
    </row>
    <row r="51" spans="1:2">
      <c r="A51" s="454" t="s">
        <v>182</v>
      </c>
      <c r="B51" s="454" t="s">
        <v>220</v>
      </c>
    </row>
    <row r="52" spans="1:2">
      <c r="A52" s="454" t="s">
        <v>182</v>
      </c>
      <c r="B52" s="454" t="s">
        <v>244</v>
      </c>
    </row>
    <row r="53" spans="1:2">
      <c r="A53" s="454" t="s">
        <v>182</v>
      </c>
      <c r="B53" s="454" t="s">
        <v>245</v>
      </c>
    </row>
    <row r="54" spans="1:2">
      <c r="A54" s="454" t="s">
        <v>182</v>
      </c>
      <c r="B54" s="454" t="s">
        <v>246</v>
      </c>
    </row>
    <row r="55" spans="1:2">
      <c r="A55" s="454" t="s">
        <v>182</v>
      </c>
      <c r="B55" s="454" t="s">
        <v>247</v>
      </c>
    </row>
    <row r="56" spans="1:2">
      <c r="A56" s="454" t="s">
        <v>182</v>
      </c>
      <c r="B56" s="454" t="s">
        <v>248</v>
      </c>
    </row>
    <row r="57" spans="1:2">
      <c r="A57" s="454" t="s">
        <v>182</v>
      </c>
      <c r="B57" s="454" t="s">
        <v>249</v>
      </c>
    </row>
    <row r="58" spans="1:2">
      <c r="A58" s="454" t="s">
        <v>182</v>
      </c>
      <c r="B58" s="454" t="s">
        <v>250</v>
      </c>
    </row>
    <row r="59" spans="1:2">
      <c r="A59" s="454" t="s">
        <v>182</v>
      </c>
      <c r="B59" s="454" t="s">
        <v>251</v>
      </c>
    </row>
    <row r="60" spans="1:2">
      <c r="A60" s="454" t="s">
        <v>182</v>
      </c>
      <c r="B60" s="454" t="s">
        <v>252</v>
      </c>
    </row>
    <row r="61" spans="1:2">
      <c r="A61" s="454" t="s">
        <v>182</v>
      </c>
      <c r="B61" s="454" t="s">
        <v>253</v>
      </c>
    </row>
    <row r="62" spans="1:2">
      <c r="A62" s="454" t="s">
        <v>182</v>
      </c>
      <c r="B62" s="454" t="s">
        <v>254</v>
      </c>
    </row>
    <row r="63" spans="1:2">
      <c r="A63" s="454" t="s">
        <v>182</v>
      </c>
      <c r="B63" s="454" t="s">
        <v>255</v>
      </c>
    </row>
    <row r="64" spans="1:2">
      <c r="A64" s="454" t="s">
        <v>182</v>
      </c>
      <c r="B64" s="454" t="s">
        <v>226</v>
      </c>
    </row>
    <row r="65" spans="1:2">
      <c r="A65" s="454" t="s">
        <v>182</v>
      </c>
      <c r="B65" s="454" t="s">
        <v>256</v>
      </c>
    </row>
    <row r="66" spans="1:2">
      <c r="A66" s="454" t="s">
        <v>182</v>
      </c>
      <c r="B66" s="454" t="s">
        <v>257</v>
      </c>
    </row>
    <row r="67" spans="1:2">
      <c r="A67" s="454" t="s">
        <v>182</v>
      </c>
      <c r="B67" s="454" t="s">
        <v>258</v>
      </c>
    </row>
    <row r="68" spans="1:2">
      <c r="A68" s="454" t="s">
        <v>182</v>
      </c>
      <c r="B68" s="454" t="s">
        <v>259</v>
      </c>
    </row>
    <row r="69" spans="1:2">
      <c r="A69" s="454" t="s">
        <v>182</v>
      </c>
      <c r="B69" s="454" t="s">
        <v>260</v>
      </c>
    </row>
    <row r="70" spans="1:2">
      <c r="A70" s="454" t="s">
        <v>182</v>
      </c>
      <c r="B70" s="454" t="s">
        <v>261</v>
      </c>
    </row>
    <row r="71" spans="1:2">
      <c r="A71" s="454" t="s">
        <v>182</v>
      </c>
      <c r="B71" s="454" t="s">
        <v>262</v>
      </c>
    </row>
    <row r="72" spans="1:2">
      <c r="A72" s="454" t="s">
        <v>182</v>
      </c>
      <c r="B72" s="454" t="s">
        <v>263</v>
      </c>
    </row>
    <row r="73" spans="1:2">
      <c r="A73" s="454" t="s">
        <v>182</v>
      </c>
      <c r="B73" s="454" t="s">
        <v>264</v>
      </c>
    </row>
    <row r="74" spans="1:2">
      <c r="A74" s="454" t="s">
        <v>182</v>
      </c>
      <c r="B74" s="454" t="s">
        <v>265</v>
      </c>
    </row>
    <row r="75" spans="1:2">
      <c r="A75" s="454" t="s">
        <v>182</v>
      </c>
      <c r="B75" s="454" t="s">
        <v>266</v>
      </c>
    </row>
    <row r="76" spans="1:2">
      <c r="A76" s="454" t="s">
        <v>182</v>
      </c>
      <c r="B76" s="454" t="s">
        <v>165</v>
      </c>
    </row>
    <row r="77" spans="1:2">
      <c r="A77" s="454" t="s">
        <v>182</v>
      </c>
      <c r="B77" s="454" t="s">
        <v>267</v>
      </c>
    </row>
    <row r="78" spans="1:2">
      <c r="A78" s="454" t="s">
        <v>182</v>
      </c>
      <c r="B78" s="454" t="s">
        <v>268</v>
      </c>
    </row>
    <row r="79" spans="1:2">
      <c r="A79" s="454" t="s">
        <v>182</v>
      </c>
      <c r="B79" s="454" t="s">
        <v>269</v>
      </c>
    </row>
    <row r="80" spans="1:2">
      <c r="A80" s="454" t="s">
        <v>182</v>
      </c>
      <c r="B80" s="454" t="s">
        <v>270</v>
      </c>
    </row>
    <row r="81" spans="1:2">
      <c r="A81" s="454" t="s">
        <v>182</v>
      </c>
      <c r="B81" s="454" t="s">
        <v>271</v>
      </c>
    </row>
    <row r="82" spans="1:2">
      <c r="A82" s="454" t="s">
        <v>182</v>
      </c>
      <c r="B82" s="454" t="s">
        <v>272</v>
      </c>
    </row>
    <row r="83" spans="1:2">
      <c r="A83" s="454" t="s">
        <v>182</v>
      </c>
      <c r="B83" s="454" t="s">
        <v>273</v>
      </c>
    </row>
    <row r="84" spans="1:2">
      <c r="A84" s="454" t="s">
        <v>182</v>
      </c>
      <c r="B84" s="454" t="s">
        <v>274</v>
      </c>
    </row>
    <row r="85" spans="1:2">
      <c r="A85" s="454" t="s">
        <v>182</v>
      </c>
      <c r="B85" s="454" t="s">
        <v>275</v>
      </c>
    </row>
    <row r="86" spans="1:2">
      <c r="A86" s="454" t="s">
        <v>182</v>
      </c>
      <c r="B86" s="454" t="s">
        <v>276</v>
      </c>
    </row>
    <row r="87" spans="1:2">
      <c r="A87" s="454" t="s">
        <v>182</v>
      </c>
      <c r="B87" s="454" t="s">
        <v>277</v>
      </c>
    </row>
    <row r="88" spans="1:2">
      <c r="A88" s="454" t="s">
        <v>182</v>
      </c>
      <c r="B88" s="454" t="s">
        <v>278</v>
      </c>
    </row>
    <row r="89" spans="1:2">
      <c r="A89" s="454" t="s">
        <v>182</v>
      </c>
      <c r="B89" s="454" t="s">
        <v>279</v>
      </c>
    </row>
    <row r="90" spans="1:2">
      <c r="A90" s="454" t="s">
        <v>182</v>
      </c>
      <c r="B90" s="454" t="s">
        <v>280</v>
      </c>
    </row>
    <row r="91" spans="1:2">
      <c r="A91" s="454" t="s">
        <v>182</v>
      </c>
      <c r="B91" s="454" t="s">
        <v>281</v>
      </c>
    </row>
    <row r="92" spans="1:2">
      <c r="A92" s="454" t="s">
        <v>182</v>
      </c>
      <c r="B92" s="454" t="s">
        <v>282</v>
      </c>
    </row>
    <row r="93" spans="1:2">
      <c r="A93" s="454" t="s">
        <v>182</v>
      </c>
      <c r="B93" s="454" t="s">
        <v>283</v>
      </c>
    </row>
    <row r="94" spans="1:2">
      <c r="A94" s="454" t="s">
        <v>182</v>
      </c>
      <c r="B94" s="454" t="s">
        <v>284</v>
      </c>
    </row>
    <row r="95" spans="1:2">
      <c r="A95" s="454" t="s">
        <v>182</v>
      </c>
      <c r="B95" s="454" t="s">
        <v>285</v>
      </c>
    </row>
    <row r="96" spans="1:2">
      <c r="A96" s="454" t="s">
        <v>182</v>
      </c>
      <c r="B96" s="454" t="s">
        <v>286</v>
      </c>
    </row>
    <row r="97" spans="1:2">
      <c r="A97" s="454" t="s">
        <v>182</v>
      </c>
      <c r="B97" s="454" t="s">
        <v>287</v>
      </c>
    </row>
    <row r="98" spans="1:2">
      <c r="A98" s="454" t="s">
        <v>182</v>
      </c>
      <c r="B98" s="454" t="s">
        <v>288</v>
      </c>
    </row>
    <row r="99" spans="1:2">
      <c r="A99" s="454" t="s">
        <v>182</v>
      </c>
      <c r="B99" s="454" t="s">
        <v>289</v>
      </c>
    </row>
    <row r="100" spans="1:2">
      <c r="A100" s="454" t="s">
        <v>182</v>
      </c>
      <c r="B100" s="454" t="s">
        <v>290</v>
      </c>
    </row>
    <row r="101" spans="1:2">
      <c r="A101" s="454" t="s">
        <v>182</v>
      </c>
      <c r="B101" s="454" t="s">
        <v>291</v>
      </c>
    </row>
    <row r="102" spans="1:2">
      <c r="A102" s="454" t="s">
        <v>182</v>
      </c>
      <c r="B102" s="454" t="s">
        <v>292</v>
      </c>
    </row>
    <row r="103" spans="1:2">
      <c r="A103" s="454" t="s">
        <v>182</v>
      </c>
      <c r="B103" s="454" t="s">
        <v>293</v>
      </c>
    </row>
    <row r="104" spans="1:2">
      <c r="A104" s="454" t="s">
        <v>182</v>
      </c>
      <c r="B104" s="454" t="s">
        <v>294</v>
      </c>
    </row>
    <row r="105" spans="1:2">
      <c r="A105" s="454" t="s">
        <v>182</v>
      </c>
      <c r="B105" s="454" t="s">
        <v>295</v>
      </c>
    </row>
    <row r="106" spans="1:2">
      <c r="A106" s="454" t="s">
        <v>182</v>
      </c>
      <c r="B106" s="454" t="s">
        <v>296</v>
      </c>
    </row>
    <row r="107" spans="1:2">
      <c r="A107" s="454" t="s">
        <v>182</v>
      </c>
      <c r="B107" s="454" t="s">
        <v>232</v>
      </c>
    </row>
    <row r="108" spans="1:2">
      <c r="A108" s="454" t="s">
        <v>182</v>
      </c>
      <c r="B108" s="454" t="s">
        <v>297</v>
      </c>
    </row>
    <row r="109" spans="1:2">
      <c r="A109" s="454" t="s">
        <v>182</v>
      </c>
      <c r="B109" s="454" t="s">
        <v>298</v>
      </c>
    </row>
    <row r="110" spans="1:2">
      <c r="A110" s="454" t="s">
        <v>182</v>
      </c>
      <c r="B110" s="454" t="s">
        <v>299</v>
      </c>
    </row>
    <row r="111" spans="1:2">
      <c r="A111" s="454" t="s">
        <v>182</v>
      </c>
      <c r="B111" s="454" t="s">
        <v>300</v>
      </c>
    </row>
    <row r="112" spans="1:2">
      <c r="A112" s="454" t="s">
        <v>182</v>
      </c>
      <c r="B112" s="454" t="s">
        <v>162</v>
      </c>
    </row>
    <row r="113" spans="1:2">
      <c r="A113" s="454" t="s">
        <v>182</v>
      </c>
      <c r="B113" s="454" t="s">
        <v>301</v>
      </c>
    </row>
    <row r="114" spans="1:2">
      <c r="A114" s="454" t="s">
        <v>182</v>
      </c>
      <c r="B114" s="454" t="s">
        <v>302</v>
      </c>
    </row>
    <row r="115" spans="1:2">
      <c r="A115" s="454" t="s">
        <v>182</v>
      </c>
      <c r="B115" s="454" t="s">
        <v>303</v>
      </c>
    </row>
    <row r="116" spans="1:2">
      <c r="A116" s="454" t="s">
        <v>182</v>
      </c>
      <c r="B116" s="454" t="s">
        <v>304</v>
      </c>
    </row>
    <row r="117" spans="1:2">
      <c r="A117" s="454" t="s">
        <v>182</v>
      </c>
      <c r="B117" s="454" t="s">
        <v>305</v>
      </c>
    </row>
    <row r="118" spans="1:2">
      <c r="A118" s="454" t="s">
        <v>182</v>
      </c>
      <c r="B118" s="454" t="s">
        <v>306</v>
      </c>
    </row>
    <row r="119" spans="1:2">
      <c r="A119" s="454" t="s">
        <v>182</v>
      </c>
      <c r="B119" s="454" t="s">
        <v>307</v>
      </c>
    </row>
    <row r="120" spans="1:2">
      <c r="A120" s="454" t="s">
        <v>182</v>
      </c>
      <c r="B120" s="454" t="s">
        <v>308</v>
      </c>
    </row>
    <row r="121" spans="1:2">
      <c r="A121" s="454" t="s">
        <v>182</v>
      </c>
      <c r="B121" s="454" t="s">
        <v>309</v>
      </c>
    </row>
    <row r="122" spans="1:2">
      <c r="A122" s="454" t="s">
        <v>182</v>
      </c>
      <c r="B122" s="454" t="s">
        <v>310</v>
      </c>
    </row>
    <row r="123" spans="1:2">
      <c r="A123" s="454" t="s">
        <v>182</v>
      </c>
      <c r="B123" s="454" t="s">
        <v>311</v>
      </c>
    </row>
    <row r="124" spans="1:2">
      <c r="A124" s="454" t="s">
        <v>182</v>
      </c>
      <c r="B124" s="454" t="s">
        <v>312</v>
      </c>
    </row>
    <row r="125" spans="1:2">
      <c r="A125" s="454" t="s">
        <v>182</v>
      </c>
      <c r="B125" s="454" t="s">
        <v>313</v>
      </c>
    </row>
    <row r="126" spans="1:2">
      <c r="A126" s="454" t="s">
        <v>182</v>
      </c>
      <c r="B126" s="454" t="s">
        <v>314</v>
      </c>
    </row>
    <row r="127" spans="1:2">
      <c r="A127" s="454" t="s">
        <v>182</v>
      </c>
      <c r="B127" s="454" t="s">
        <v>315</v>
      </c>
    </row>
    <row r="128" spans="1:2">
      <c r="A128" s="454" t="s">
        <v>182</v>
      </c>
      <c r="B128" s="454" t="s">
        <v>316</v>
      </c>
    </row>
    <row r="129" spans="1:2">
      <c r="A129" s="454" t="s">
        <v>182</v>
      </c>
      <c r="B129" s="454" t="s">
        <v>317</v>
      </c>
    </row>
    <row r="130" spans="1:2">
      <c r="A130" s="454" t="s">
        <v>182</v>
      </c>
      <c r="B130" s="454" t="s">
        <v>318</v>
      </c>
    </row>
    <row r="131" spans="1:2">
      <c r="A131" s="454" t="s">
        <v>182</v>
      </c>
      <c r="B131" s="454" t="s">
        <v>319</v>
      </c>
    </row>
    <row r="132" spans="1:2">
      <c r="A132" s="454" t="s">
        <v>182</v>
      </c>
      <c r="B132" s="454" t="s">
        <v>320</v>
      </c>
    </row>
    <row r="133" spans="1:2">
      <c r="A133" s="454" t="s">
        <v>182</v>
      </c>
      <c r="B133" s="454" t="s">
        <v>321</v>
      </c>
    </row>
    <row r="134" spans="1:2">
      <c r="A134" s="454" t="s">
        <v>182</v>
      </c>
      <c r="B134" s="454" t="s">
        <v>322</v>
      </c>
    </row>
    <row r="135" spans="1:2">
      <c r="A135" s="454" t="s">
        <v>182</v>
      </c>
      <c r="B135" s="454" t="s">
        <v>323</v>
      </c>
    </row>
    <row r="136" spans="1:2">
      <c r="A136" s="454" t="s">
        <v>182</v>
      </c>
      <c r="B136" s="454" t="s">
        <v>324</v>
      </c>
    </row>
    <row r="137" spans="1:2">
      <c r="A137" s="454" t="s">
        <v>182</v>
      </c>
      <c r="B137" s="454" t="s">
        <v>325</v>
      </c>
    </row>
    <row r="138" spans="1:2">
      <c r="A138" s="454" t="s">
        <v>182</v>
      </c>
      <c r="B138" s="454" t="s">
        <v>326</v>
      </c>
    </row>
    <row r="139" spans="1:2">
      <c r="A139" s="454" t="s">
        <v>182</v>
      </c>
      <c r="B139" s="454" t="s">
        <v>327</v>
      </c>
    </row>
    <row r="140" spans="1:2">
      <c r="A140" s="454" t="s">
        <v>182</v>
      </c>
      <c r="B140" s="454" t="s">
        <v>328</v>
      </c>
    </row>
    <row r="141" spans="1:2">
      <c r="A141" s="454" t="s">
        <v>182</v>
      </c>
      <c r="B141" s="454" t="s">
        <v>329</v>
      </c>
    </row>
    <row r="142" spans="1:2">
      <c r="A142" s="454" t="s">
        <v>182</v>
      </c>
      <c r="B142" s="454" t="s">
        <v>330</v>
      </c>
    </row>
    <row r="143" spans="1:2">
      <c r="A143" s="454" t="s">
        <v>182</v>
      </c>
      <c r="B143" s="454" t="s">
        <v>331</v>
      </c>
    </row>
    <row r="144" spans="1:2">
      <c r="A144" s="454" t="s">
        <v>182</v>
      </c>
      <c r="B144" s="454" t="s">
        <v>332</v>
      </c>
    </row>
    <row r="145" spans="1:2">
      <c r="A145" s="454" t="s">
        <v>182</v>
      </c>
      <c r="B145" s="454" t="s">
        <v>333</v>
      </c>
    </row>
    <row r="146" spans="1:2">
      <c r="A146" s="454" t="s">
        <v>182</v>
      </c>
      <c r="B146" s="454" t="s">
        <v>334</v>
      </c>
    </row>
    <row r="147" spans="1:2">
      <c r="A147" s="454" t="s">
        <v>182</v>
      </c>
      <c r="B147" s="454" t="s">
        <v>335</v>
      </c>
    </row>
    <row r="148" spans="1:2">
      <c r="A148" s="454" t="s">
        <v>182</v>
      </c>
      <c r="B148" s="454" t="s">
        <v>171</v>
      </c>
    </row>
    <row r="149" spans="1:2">
      <c r="A149" s="454" t="s">
        <v>182</v>
      </c>
      <c r="B149" s="454" t="s">
        <v>336</v>
      </c>
    </row>
    <row r="150" spans="1:2">
      <c r="A150" s="454" t="s">
        <v>182</v>
      </c>
      <c r="B150" s="454" t="s">
        <v>177</v>
      </c>
    </row>
    <row r="151" spans="1:2">
      <c r="A151" s="454" t="s">
        <v>182</v>
      </c>
      <c r="B151" s="454" t="s">
        <v>337</v>
      </c>
    </row>
    <row r="152" spans="1:2">
      <c r="A152" s="454" t="s">
        <v>182</v>
      </c>
      <c r="B152" s="454" t="s">
        <v>338</v>
      </c>
    </row>
    <row r="153" spans="1:2">
      <c r="A153" s="454" t="s">
        <v>182</v>
      </c>
      <c r="B153" s="454" t="s">
        <v>339</v>
      </c>
    </row>
    <row r="154" spans="1:2">
      <c r="A154" s="454" t="s">
        <v>182</v>
      </c>
      <c r="B154" s="454" t="s">
        <v>340</v>
      </c>
    </row>
    <row r="155" spans="1:2">
      <c r="A155" s="454" t="s">
        <v>182</v>
      </c>
      <c r="B155" s="454" t="s">
        <v>341</v>
      </c>
    </row>
    <row r="156" spans="1:2">
      <c r="A156" s="454" t="s">
        <v>182</v>
      </c>
      <c r="B156" s="454" t="s">
        <v>342</v>
      </c>
    </row>
    <row r="157" spans="1:2">
      <c r="A157" s="454" t="s">
        <v>182</v>
      </c>
      <c r="B157" s="454" t="s">
        <v>343</v>
      </c>
    </row>
    <row r="158" spans="1:2">
      <c r="A158" s="454" t="s">
        <v>182</v>
      </c>
      <c r="B158" s="454" t="s">
        <v>344</v>
      </c>
    </row>
    <row r="159" spans="1:2">
      <c r="A159" s="454" t="s">
        <v>182</v>
      </c>
      <c r="B159" s="454" t="s">
        <v>345</v>
      </c>
    </row>
    <row r="160" spans="1:2">
      <c r="A160" s="454" t="s">
        <v>182</v>
      </c>
      <c r="B160" s="454" t="s">
        <v>346</v>
      </c>
    </row>
    <row r="161" spans="1:2">
      <c r="A161" s="454" t="s">
        <v>182</v>
      </c>
      <c r="B161" s="454" t="s">
        <v>347</v>
      </c>
    </row>
    <row r="162" spans="1:2">
      <c r="A162" s="454" t="s">
        <v>182</v>
      </c>
      <c r="B162" s="454" t="s">
        <v>348</v>
      </c>
    </row>
    <row r="163" spans="1:2">
      <c r="A163" s="454" t="s">
        <v>182</v>
      </c>
      <c r="B163" s="454" t="s">
        <v>349</v>
      </c>
    </row>
    <row r="164" spans="1:2">
      <c r="A164" s="454" t="s">
        <v>182</v>
      </c>
      <c r="B164" s="454" t="s">
        <v>350</v>
      </c>
    </row>
    <row r="165" spans="1:2">
      <c r="A165" s="454" t="s">
        <v>182</v>
      </c>
      <c r="B165" s="454" t="s">
        <v>351</v>
      </c>
    </row>
    <row r="166" spans="1:2">
      <c r="A166" s="454" t="s">
        <v>182</v>
      </c>
      <c r="B166" s="454" t="s">
        <v>352</v>
      </c>
    </row>
    <row r="167" spans="1:2">
      <c r="A167" s="454" t="s">
        <v>182</v>
      </c>
      <c r="B167" s="454" t="s">
        <v>353</v>
      </c>
    </row>
    <row r="168" spans="1:2">
      <c r="A168" s="454" t="s">
        <v>182</v>
      </c>
      <c r="B168" s="454" t="s">
        <v>354</v>
      </c>
    </row>
    <row r="169" spans="1:2">
      <c r="A169" s="454" t="s">
        <v>182</v>
      </c>
      <c r="B169" s="454" t="s">
        <v>355</v>
      </c>
    </row>
    <row r="170" spans="1:2">
      <c r="A170" s="454" t="s">
        <v>182</v>
      </c>
      <c r="B170" s="454" t="s">
        <v>356</v>
      </c>
    </row>
    <row r="171" spans="1:2">
      <c r="A171" s="454" t="s">
        <v>182</v>
      </c>
      <c r="B171" s="454" t="s">
        <v>357</v>
      </c>
    </row>
    <row r="172" spans="1:2">
      <c r="A172" s="454" t="s">
        <v>182</v>
      </c>
      <c r="B172" s="454" t="s">
        <v>358</v>
      </c>
    </row>
    <row r="173" spans="1:2">
      <c r="A173" s="454" t="s">
        <v>182</v>
      </c>
      <c r="B173" s="454" t="s">
        <v>359</v>
      </c>
    </row>
    <row r="174" spans="1:2">
      <c r="A174" s="454" t="s">
        <v>182</v>
      </c>
      <c r="B174" s="454" t="s">
        <v>360</v>
      </c>
    </row>
    <row r="175" spans="1:2">
      <c r="A175" s="454" t="s">
        <v>182</v>
      </c>
      <c r="B175" s="454" t="s">
        <v>361</v>
      </c>
    </row>
    <row r="176" spans="1:2">
      <c r="A176" s="454" t="s">
        <v>182</v>
      </c>
      <c r="B176" s="454" t="s">
        <v>362</v>
      </c>
    </row>
    <row r="177" spans="1:2">
      <c r="A177" s="454" t="s">
        <v>182</v>
      </c>
      <c r="B177" s="454" t="s">
        <v>363</v>
      </c>
    </row>
    <row r="178" spans="1:2">
      <c r="A178" s="454" t="s">
        <v>182</v>
      </c>
      <c r="B178" s="454" t="s">
        <v>364</v>
      </c>
    </row>
    <row r="179" spans="1:2">
      <c r="A179" s="454" t="s">
        <v>182</v>
      </c>
      <c r="B179" s="454" t="s">
        <v>365</v>
      </c>
    </row>
    <row r="180" spans="1:2">
      <c r="A180" s="454" t="s">
        <v>182</v>
      </c>
      <c r="B180" s="454" t="s">
        <v>366</v>
      </c>
    </row>
    <row r="181" spans="1:2">
      <c r="A181" s="454" t="s">
        <v>182</v>
      </c>
      <c r="B181" s="454" t="s">
        <v>367</v>
      </c>
    </row>
    <row r="182" spans="1:2">
      <c r="A182" s="454" t="s">
        <v>182</v>
      </c>
      <c r="B182" s="454" t="s">
        <v>368</v>
      </c>
    </row>
    <row r="183" spans="1:2">
      <c r="A183" s="454" t="s">
        <v>182</v>
      </c>
      <c r="B183" s="454" t="s">
        <v>369</v>
      </c>
    </row>
    <row r="184" spans="1:2">
      <c r="A184" s="454" t="s">
        <v>182</v>
      </c>
      <c r="B184" s="454" t="s">
        <v>370</v>
      </c>
    </row>
    <row r="185" spans="1:2">
      <c r="A185" s="454" t="s">
        <v>182</v>
      </c>
      <c r="B185" s="454" t="s">
        <v>371</v>
      </c>
    </row>
    <row r="186" spans="1:2">
      <c r="A186" s="454" t="s">
        <v>182</v>
      </c>
      <c r="B186" s="454" t="s">
        <v>372</v>
      </c>
    </row>
    <row r="187" spans="1:2">
      <c r="A187" s="454" t="s">
        <v>182</v>
      </c>
      <c r="B187" s="454" t="s">
        <v>373</v>
      </c>
    </row>
    <row r="188" spans="1:2">
      <c r="A188" s="454" t="s">
        <v>182</v>
      </c>
      <c r="B188" s="454" t="s">
        <v>374</v>
      </c>
    </row>
    <row r="189" spans="1:2">
      <c r="A189" s="454" t="s">
        <v>182</v>
      </c>
      <c r="B189" s="454" t="s">
        <v>375</v>
      </c>
    </row>
    <row r="190" spans="1:2">
      <c r="A190" s="454" t="s">
        <v>182</v>
      </c>
      <c r="B190" s="454" t="s">
        <v>376</v>
      </c>
    </row>
    <row r="191" spans="1:2">
      <c r="A191" s="454" t="s">
        <v>182</v>
      </c>
      <c r="B191" s="454" t="s">
        <v>377</v>
      </c>
    </row>
    <row r="192" spans="1:2">
      <c r="A192" s="454" t="s">
        <v>182</v>
      </c>
      <c r="B192" s="454" t="s">
        <v>378</v>
      </c>
    </row>
    <row r="193" spans="1:2">
      <c r="A193" s="454" t="s">
        <v>182</v>
      </c>
      <c r="B193" s="454" t="s">
        <v>379</v>
      </c>
    </row>
    <row r="194" spans="1:2">
      <c r="A194" s="454" t="s">
        <v>182</v>
      </c>
      <c r="B194" s="454" t="s">
        <v>380</v>
      </c>
    </row>
    <row r="195" spans="1:2">
      <c r="A195" s="454" t="s">
        <v>182</v>
      </c>
      <c r="B195" s="454" t="s">
        <v>381</v>
      </c>
    </row>
    <row r="196" spans="1:2">
      <c r="A196" s="454" t="s">
        <v>182</v>
      </c>
      <c r="B196" s="454" t="s">
        <v>382</v>
      </c>
    </row>
    <row r="197" spans="1:2">
      <c r="A197" s="454" t="s">
        <v>182</v>
      </c>
      <c r="B197" s="454" t="s">
        <v>383</v>
      </c>
    </row>
    <row r="198" spans="1:2">
      <c r="A198" s="454" t="s">
        <v>182</v>
      </c>
      <c r="B198" s="454" t="s">
        <v>384</v>
      </c>
    </row>
    <row r="199" spans="1:2">
      <c r="A199" s="454" t="s">
        <v>182</v>
      </c>
      <c r="B199" s="454" t="s">
        <v>385</v>
      </c>
    </row>
    <row r="200" spans="1:2">
      <c r="A200" s="454" t="s">
        <v>182</v>
      </c>
      <c r="B200" s="454" t="s">
        <v>386</v>
      </c>
    </row>
    <row r="201" spans="1:2">
      <c r="A201" s="454" t="s">
        <v>182</v>
      </c>
      <c r="B201" s="454" t="s">
        <v>387</v>
      </c>
    </row>
    <row r="202" spans="1:2">
      <c r="A202" s="454" t="s">
        <v>182</v>
      </c>
      <c r="B202" s="454" t="s">
        <v>388</v>
      </c>
    </row>
    <row r="203" spans="1:2">
      <c r="A203" s="454" t="s">
        <v>182</v>
      </c>
      <c r="B203" s="454" t="s">
        <v>389</v>
      </c>
    </row>
    <row r="204" spans="1:2">
      <c r="A204" s="454" t="s">
        <v>182</v>
      </c>
      <c r="B204" s="454" t="s">
        <v>390</v>
      </c>
    </row>
    <row r="205" spans="1:2">
      <c r="A205" s="454" t="s">
        <v>182</v>
      </c>
      <c r="B205" s="454" t="s">
        <v>391</v>
      </c>
    </row>
    <row r="206" spans="1:2">
      <c r="A206" s="454" t="s">
        <v>182</v>
      </c>
      <c r="B206" s="454" t="s">
        <v>392</v>
      </c>
    </row>
    <row r="207" spans="1:2">
      <c r="A207" s="454" t="s">
        <v>182</v>
      </c>
      <c r="B207" s="454" t="s">
        <v>393</v>
      </c>
    </row>
    <row r="208" spans="1:2">
      <c r="A208" s="454" t="s">
        <v>182</v>
      </c>
      <c r="B208" s="454" t="s">
        <v>394</v>
      </c>
    </row>
    <row r="209" spans="1:3">
      <c r="A209" s="454" t="s">
        <v>182</v>
      </c>
      <c r="B209" s="454" t="s">
        <v>395</v>
      </c>
    </row>
    <row r="210" spans="1:3">
      <c r="A210" s="454" t="s">
        <v>182</v>
      </c>
      <c r="B210" s="454" t="s">
        <v>396</v>
      </c>
    </row>
    <row r="211" spans="1:3">
      <c r="A211" s="454" t="s">
        <v>182</v>
      </c>
      <c r="B211" s="454" t="s">
        <v>397</v>
      </c>
    </row>
    <row r="212" spans="1:3">
      <c r="A212" s="454" t="s">
        <v>182</v>
      </c>
      <c r="B212" s="454" t="s">
        <v>398</v>
      </c>
    </row>
    <row r="213" spans="1:3">
      <c r="A213" s="454" t="s">
        <v>182</v>
      </c>
      <c r="B213" s="454" t="s">
        <v>399</v>
      </c>
    </row>
    <row r="214" spans="1:3">
      <c r="A214" s="454" t="s">
        <v>182</v>
      </c>
      <c r="B214" s="454" t="s">
        <v>400</v>
      </c>
    </row>
    <row r="215" spans="1:3">
      <c r="A215" s="454" t="s">
        <v>182</v>
      </c>
      <c r="B215" s="454" t="s">
        <v>401</v>
      </c>
    </row>
    <row r="216" spans="1:3">
      <c r="A216" s="454" t="s">
        <v>182</v>
      </c>
      <c r="B216" s="454" t="s">
        <v>402</v>
      </c>
    </row>
    <row r="217" spans="1:3">
      <c r="A217" s="454" t="s">
        <v>182</v>
      </c>
      <c r="B217" s="454" t="s">
        <v>403</v>
      </c>
    </row>
    <row r="218" spans="1:3">
      <c r="A218" s="454" t="s">
        <v>182</v>
      </c>
      <c r="B218" s="454" t="s">
        <v>404</v>
      </c>
    </row>
    <row r="219" spans="1:3">
      <c r="A219" s="454" t="s">
        <v>182</v>
      </c>
      <c r="B219" s="454" t="s">
        <v>405</v>
      </c>
    </row>
    <row r="220" spans="1:3">
      <c r="A220" s="454" t="s">
        <v>179</v>
      </c>
      <c r="B220" s="454" t="s">
        <v>406</v>
      </c>
      <c r="C220" s="454" t="s">
        <v>235</v>
      </c>
    </row>
    <row r="221" spans="1:3">
      <c r="A221" s="454" t="s">
        <v>179</v>
      </c>
      <c r="B221" s="454" t="s">
        <v>407</v>
      </c>
    </row>
    <row r="222" spans="1:3">
      <c r="A222" s="454" t="s">
        <v>179</v>
      </c>
      <c r="B222" s="454" t="s">
        <v>159</v>
      </c>
    </row>
    <row r="223" spans="1:3">
      <c r="A223" s="454" t="s">
        <v>179</v>
      </c>
      <c r="B223" s="454" t="s">
        <v>260</v>
      </c>
    </row>
    <row r="224" spans="1:3">
      <c r="A224" s="454" t="s">
        <v>179</v>
      </c>
      <c r="B224" s="454" t="s">
        <v>408</v>
      </c>
    </row>
    <row r="225" spans="1:2">
      <c r="A225" s="454" t="s">
        <v>179</v>
      </c>
      <c r="B225" s="454" t="s">
        <v>409</v>
      </c>
    </row>
    <row r="226" spans="1:2">
      <c r="A226" s="454" t="s">
        <v>179</v>
      </c>
      <c r="B226" s="454" t="s">
        <v>410</v>
      </c>
    </row>
    <row r="227" spans="1:2">
      <c r="A227" s="454" t="s">
        <v>179</v>
      </c>
      <c r="B227" s="454" t="s">
        <v>411</v>
      </c>
    </row>
    <row r="228" spans="1:2">
      <c r="A228" s="454" t="s">
        <v>179</v>
      </c>
      <c r="B228" s="454" t="s">
        <v>158</v>
      </c>
    </row>
    <row r="229" spans="1:2">
      <c r="A229" s="454" t="s">
        <v>179</v>
      </c>
      <c r="B229" s="454" t="s">
        <v>412</v>
      </c>
    </row>
    <row r="230" spans="1:2">
      <c r="A230" s="454" t="s">
        <v>179</v>
      </c>
      <c r="B230" s="454" t="s">
        <v>413</v>
      </c>
    </row>
    <row r="231" spans="1:2">
      <c r="A231" s="454" t="s">
        <v>179</v>
      </c>
      <c r="B231" s="454" t="s">
        <v>267</v>
      </c>
    </row>
    <row r="232" spans="1:2">
      <c r="A232" s="454" t="s">
        <v>179</v>
      </c>
      <c r="B232" s="454" t="s">
        <v>274</v>
      </c>
    </row>
    <row r="233" spans="1:2">
      <c r="A233" s="454" t="s">
        <v>179</v>
      </c>
      <c r="B233" s="454" t="s">
        <v>281</v>
      </c>
    </row>
    <row r="234" spans="1:2">
      <c r="A234" s="454" t="s">
        <v>179</v>
      </c>
      <c r="B234" s="454" t="s">
        <v>170</v>
      </c>
    </row>
    <row r="235" spans="1:2">
      <c r="A235" s="454" t="s">
        <v>179</v>
      </c>
      <c r="B235" s="454" t="s">
        <v>288</v>
      </c>
    </row>
    <row r="236" spans="1:2">
      <c r="A236" s="454" t="s">
        <v>179</v>
      </c>
      <c r="B236" s="454" t="s">
        <v>295</v>
      </c>
    </row>
    <row r="237" spans="1:2">
      <c r="A237" s="454" t="s">
        <v>179</v>
      </c>
      <c r="B237" s="454" t="s">
        <v>414</v>
      </c>
    </row>
    <row r="238" spans="1:2">
      <c r="A238" s="454" t="s">
        <v>179</v>
      </c>
      <c r="B238" s="454" t="s">
        <v>415</v>
      </c>
    </row>
    <row r="239" spans="1:2">
      <c r="A239" s="454" t="s">
        <v>179</v>
      </c>
      <c r="B239" s="454" t="s">
        <v>416</v>
      </c>
    </row>
    <row r="240" spans="1:2">
      <c r="A240" s="454" t="s">
        <v>179</v>
      </c>
      <c r="B240" s="454" t="s">
        <v>181</v>
      </c>
    </row>
    <row r="241" spans="1:2">
      <c r="A241" s="454" t="s">
        <v>179</v>
      </c>
      <c r="B241" s="454" t="s">
        <v>417</v>
      </c>
    </row>
    <row r="242" spans="1:2">
      <c r="A242" s="454" t="s">
        <v>179</v>
      </c>
      <c r="B242" s="454" t="s">
        <v>418</v>
      </c>
    </row>
    <row r="243" spans="1:2">
      <c r="A243" s="454" t="s">
        <v>179</v>
      </c>
      <c r="B243" s="454" t="s">
        <v>419</v>
      </c>
    </row>
    <row r="244" spans="1:2">
      <c r="A244" s="454" t="s">
        <v>179</v>
      </c>
      <c r="B244" s="454" t="s">
        <v>301</v>
      </c>
    </row>
    <row r="245" spans="1:2">
      <c r="A245" s="454" t="s">
        <v>179</v>
      </c>
      <c r="B245" s="454" t="s">
        <v>308</v>
      </c>
    </row>
    <row r="246" spans="1:2">
      <c r="A246" s="454" t="s">
        <v>179</v>
      </c>
      <c r="B246" s="454" t="s">
        <v>190</v>
      </c>
    </row>
    <row r="247" spans="1:2">
      <c r="A247" s="454" t="s">
        <v>179</v>
      </c>
      <c r="B247" s="454" t="s">
        <v>315</v>
      </c>
    </row>
    <row r="248" spans="1:2">
      <c r="A248" s="454" t="s">
        <v>179</v>
      </c>
      <c r="B248" s="454" t="s">
        <v>322</v>
      </c>
    </row>
    <row r="249" spans="1:2">
      <c r="A249" s="454" t="s">
        <v>179</v>
      </c>
      <c r="B249" s="454" t="s">
        <v>329</v>
      </c>
    </row>
    <row r="250" spans="1:2">
      <c r="A250" s="454" t="s">
        <v>179</v>
      </c>
      <c r="B250" s="454" t="s">
        <v>420</v>
      </c>
    </row>
    <row r="251" spans="1:2">
      <c r="A251" s="454" t="s">
        <v>179</v>
      </c>
      <c r="B251" s="454" t="s">
        <v>421</v>
      </c>
    </row>
    <row r="252" spans="1:2">
      <c r="A252" s="454" t="s">
        <v>179</v>
      </c>
      <c r="B252" s="454" t="s">
        <v>264</v>
      </c>
    </row>
    <row r="253" spans="1:2">
      <c r="A253" s="454" t="s">
        <v>179</v>
      </c>
      <c r="B253" s="454" t="s">
        <v>265</v>
      </c>
    </row>
    <row r="254" spans="1:2">
      <c r="A254" s="454" t="s">
        <v>179</v>
      </c>
      <c r="B254" s="454" t="s">
        <v>266</v>
      </c>
    </row>
    <row r="255" spans="1:2">
      <c r="A255" s="454" t="s">
        <v>179</v>
      </c>
      <c r="B255" s="454" t="s">
        <v>422</v>
      </c>
    </row>
    <row r="256" spans="1:2">
      <c r="A256" s="454" t="s">
        <v>179</v>
      </c>
      <c r="B256" s="454" t="s">
        <v>423</v>
      </c>
    </row>
    <row r="257" spans="1:2">
      <c r="A257" s="454" t="s">
        <v>179</v>
      </c>
      <c r="B257" s="454" t="s">
        <v>424</v>
      </c>
    </row>
    <row r="258" spans="1:2">
      <c r="A258" s="454" t="s">
        <v>179</v>
      </c>
      <c r="B258" s="454" t="s">
        <v>425</v>
      </c>
    </row>
    <row r="259" spans="1:2">
      <c r="A259" s="454" t="s">
        <v>179</v>
      </c>
      <c r="B259" s="454" t="s">
        <v>426</v>
      </c>
    </row>
    <row r="260" spans="1:2">
      <c r="A260" s="454" t="s">
        <v>179</v>
      </c>
      <c r="B260" s="454" t="s">
        <v>427</v>
      </c>
    </row>
    <row r="261" spans="1:2">
      <c r="A261" s="454" t="s">
        <v>179</v>
      </c>
      <c r="B261" s="454" t="s">
        <v>428</v>
      </c>
    </row>
    <row r="262" spans="1:2">
      <c r="A262" s="454" t="s">
        <v>179</v>
      </c>
      <c r="B262" s="454" t="s">
        <v>429</v>
      </c>
    </row>
    <row r="263" spans="1:2">
      <c r="A263" s="454" t="s">
        <v>179</v>
      </c>
      <c r="B263" s="454" t="s">
        <v>430</v>
      </c>
    </row>
    <row r="264" spans="1:2">
      <c r="A264" s="454" t="s">
        <v>179</v>
      </c>
      <c r="B264" s="454" t="s">
        <v>431</v>
      </c>
    </row>
    <row r="265" spans="1:2">
      <c r="A265" s="454" t="s">
        <v>179</v>
      </c>
      <c r="B265" s="454" t="s">
        <v>432</v>
      </c>
    </row>
    <row r="266" spans="1:2">
      <c r="A266" s="454" t="s">
        <v>179</v>
      </c>
      <c r="B266" s="454" t="s">
        <v>433</v>
      </c>
    </row>
    <row r="267" spans="1:2">
      <c r="A267" s="454" t="s">
        <v>179</v>
      </c>
      <c r="B267" s="454" t="s">
        <v>434</v>
      </c>
    </row>
    <row r="268" spans="1:2">
      <c r="A268" s="454" t="s">
        <v>179</v>
      </c>
      <c r="B268" s="454" t="s">
        <v>435</v>
      </c>
    </row>
    <row r="269" spans="1:2">
      <c r="A269" s="454" t="s">
        <v>179</v>
      </c>
      <c r="B269" s="454" t="s">
        <v>436</v>
      </c>
    </row>
    <row r="270" spans="1:2">
      <c r="A270" s="454" t="s">
        <v>179</v>
      </c>
      <c r="B270" s="454" t="s">
        <v>437</v>
      </c>
    </row>
    <row r="271" spans="1:2">
      <c r="A271" s="454" t="s">
        <v>179</v>
      </c>
      <c r="B271" s="454" t="s">
        <v>438</v>
      </c>
    </row>
    <row r="272" spans="1:2">
      <c r="A272" s="454" t="s">
        <v>179</v>
      </c>
      <c r="B272" s="454" t="s">
        <v>439</v>
      </c>
    </row>
    <row r="273" spans="1:2">
      <c r="A273" s="454" t="s">
        <v>179</v>
      </c>
      <c r="B273" s="454" t="s">
        <v>440</v>
      </c>
    </row>
    <row r="274" spans="1:2">
      <c r="A274" s="454" t="s">
        <v>179</v>
      </c>
      <c r="B274" s="454" t="s">
        <v>441</v>
      </c>
    </row>
    <row r="275" spans="1:2">
      <c r="A275" s="454" t="s">
        <v>179</v>
      </c>
      <c r="B275" s="454" t="s">
        <v>442</v>
      </c>
    </row>
    <row r="276" spans="1:2">
      <c r="A276" s="454" t="s">
        <v>179</v>
      </c>
      <c r="B276" s="454" t="s">
        <v>443</v>
      </c>
    </row>
    <row r="277" spans="1:2">
      <c r="A277" s="454" t="s">
        <v>179</v>
      </c>
      <c r="B277" s="454" t="s">
        <v>444</v>
      </c>
    </row>
    <row r="278" spans="1:2">
      <c r="A278" s="454" t="s">
        <v>179</v>
      </c>
      <c r="B278" s="454" t="s">
        <v>445</v>
      </c>
    </row>
    <row r="279" spans="1:2">
      <c r="A279" s="454" t="s">
        <v>179</v>
      </c>
      <c r="B279" s="454" t="s">
        <v>446</v>
      </c>
    </row>
    <row r="280" spans="1:2">
      <c r="A280" s="454" t="s">
        <v>179</v>
      </c>
      <c r="B280" s="454" t="s">
        <v>271</v>
      </c>
    </row>
    <row r="281" spans="1:2">
      <c r="A281" s="454" t="s">
        <v>179</v>
      </c>
      <c r="B281" s="454" t="s">
        <v>272</v>
      </c>
    </row>
    <row r="282" spans="1:2">
      <c r="A282" s="454" t="s">
        <v>179</v>
      </c>
      <c r="B282" s="454" t="s">
        <v>273</v>
      </c>
    </row>
    <row r="283" spans="1:2">
      <c r="A283" s="454" t="s">
        <v>179</v>
      </c>
      <c r="B283" s="454" t="s">
        <v>447</v>
      </c>
    </row>
    <row r="284" spans="1:2">
      <c r="A284" s="454" t="s">
        <v>179</v>
      </c>
      <c r="B284" s="454" t="s">
        <v>278</v>
      </c>
    </row>
    <row r="285" spans="1:2">
      <c r="A285" s="454" t="s">
        <v>179</v>
      </c>
      <c r="B285" s="454" t="s">
        <v>279</v>
      </c>
    </row>
    <row r="286" spans="1:2">
      <c r="A286" s="454" t="s">
        <v>179</v>
      </c>
      <c r="B286" s="454" t="s">
        <v>280</v>
      </c>
    </row>
    <row r="287" spans="1:2">
      <c r="A287" s="454" t="s">
        <v>179</v>
      </c>
      <c r="B287" s="454" t="s">
        <v>448</v>
      </c>
    </row>
    <row r="288" spans="1:2">
      <c r="A288" s="454" t="s">
        <v>179</v>
      </c>
      <c r="B288" s="454" t="s">
        <v>285</v>
      </c>
    </row>
    <row r="289" spans="1:2">
      <c r="A289" s="454" t="s">
        <v>179</v>
      </c>
      <c r="B289" s="454" t="s">
        <v>286</v>
      </c>
    </row>
    <row r="290" spans="1:2">
      <c r="A290" s="454" t="s">
        <v>179</v>
      </c>
      <c r="B290" s="454" t="s">
        <v>287</v>
      </c>
    </row>
    <row r="291" spans="1:2">
      <c r="A291" s="454" t="s">
        <v>179</v>
      </c>
      <c r="B291" s="454" t="s">
        <v>449</v>
      </c>
    </row>
    <row r="292" spans="1:2">
      <c r="A292" s="454" t="s">
        <v>179</v>
      </c>
      <c r="B292" s="454" t="s">
        <v>292</v>
      </c>
    </row>
    <row r="293" spans="1:2">
      <c r="A293" s="454" t="s">
        <v>179</v>
      </c>
      <c r="B293" s="454" t="s">
        <v>293</v>
      </c>
    </row>
    <row r="294" spans="1:2">
      <c r="A294" s="454" t="s">
        <v>179</v>
      </c>
      <c r="B294" s="454" t="s">
        <v>294</v>
      </c>
    </row>
    <row r="295" spans="1:2">
      <c r="A295" s="454" t="s">
        <v>179</v>
      </c>
      <c r="B295" s="454" t="s">
        <v>450</v>
      </c>
    </row>
    <row r="296" spans="1:2">
      <c r="A296" s="454" t="s">
        <v>179</v>
      </c>
      <c r="B296" s="454" t="s">
        <v>298</v>
      </c>
    </row>
    <row r="297" spans="1:2">
      <c r="A297" s="454" t="s">
        <v>179</v>
      </c>
      <c r="B297" s="454" t="s">
        <v>299</v>
      </c>
    </row>
    <row r="298" spans="1:2">
      <c r="A298" s="454" t="s">
        <v>179</v>
      </c>
      <c r="B298" s="454" t="s">
        <v>300</v>
      </c>
    </row>
    <row r="299" spans="1:2">
      <c r="A299" s="454" t="s">
        <v>179</v>
      </c>
      <c r="B299" s="454" t="s">
        <v>451</v>
      </c>
    </row>
    <row r="300" spans="1:2">
      <c r="A300" s="454" t="s">
        <v>179</v>
      </c>
      <c r="B300" s="454" t="s">
        <v>452</v>
      </c>
    </row>
    <row r="301" spans="1:2">
      <c r="A301" s="454" t="s">
        <v>179</v>
      </c>
      <c r="B301" s="454" t="s">
        <v>453</v>
      </c>
    </row>
    <row r="302" spans="1:2">
      <c r="A302" s="454" t="s">
        <v>179</v>
      </c>
      <c r="B302" s="454" t="s">
        <v>454</v>
      </c>
    </row>
    <row r="303" spans="1:2">
      <c r="A303" s="454" t="s">
        <v>179</v>
      </c>
      <c r="B303" s="454" t="s">
        <v>455</v>
      </c>
    </row>
    <row r="304" spans="1:2">
      <c r="A304" s="454" t="s">
        <v>179</v>
      </c>
      <c r="B304" s="454" t="s">
        <v>456</v>
      </c>
    </row>
    <row r="305" spans="1:2">
      <c r="A305" s="454" t="s">
        <v>179</v>
      </c>
      <c r="B305" s="454" t="s">
        <v>457</v>
      </c>
    </row>
    <row r="306" spans="1:2">
      <c r="A306" s="454" t="s">
        <v>179</v>
      </c>
      <c r="B306" s="454" t="s">
        <v>458</v>
      </c>
    </row>
    <row r="307" spans="1:2">
      <c r="A307" s="454" t="s">
        <v>179</v>
      </c>
      <c r="B307" s="454" t="s">
        <v>459</v>
      </c>
    </row>
    <row r="308" spans="1:2">
      <c r="A308" s="454" t="s">
        <v>179</v>
      </c>
      <c r="B308" s="454" t="s">
        <v>460</v>
      </c>
    </row>
    <row r="309" spans="1:2">
      <c r="A309" s="454" t="s">
        <v>179</v>
      </c>
      <c r="B309" s="454" t="s">
        <v>461</v>
      </c>
    </row>
    <row r="310" spans="1:2">
      <c r="A310" s="454" t="s">
        <v>179</v>
      </c>
      <c r="B310" s="454" t="s">
        <v>462</v>
      </c>
    </row>
    <row r="311" spans="1:2">
      <c r="A311" s="454" t="s">
        <v>179</v>
      </c>
      <c r="B311" s="454" t="s">
        <v>463</v>
      </c>
    </row>
    <row r="312" spans="1:2">
      <c r="A312" s="454" t="s">
        <v>179</v>
      </c>
      <c r="B312" s="454" t="s">
        <v>464</v>
      </c>
    </row>
    <row r="313" spans="1:2">
      <c r="A313" s="454" t="s">
        <v>179</v>
      </c>
      <c r="B313" s="454" t="s">
        <v>465</v>
      </c>
    </row>
    <row r="314" spans="1:2">
      <c r="A314" s="454" t="s">
        <v>179</v>
      </c>
      <c r="B314" s="454" t="s">
        <v>466</v>
      </c>
    </row>
    <row r="315" spans="1:2">
      <c r="A315" s="454" t="s">
        <v>179</v>
      </c>
      <c r="B315" s="454" t="s">
        <v>467</v>
      </c>
    </row>
    <row r="316" spans="1:2">
      <c r="A316" s="454" t="s">
        <v>179</v>
      </c>
      <c r="B316" s="454" t="s">
        <v>468</v>
      </c>
    </row>
    <row r="317" spans="1:2">
      <c r="A317" s="454" t="s">
        <v>179</v>
      </c>
      <c r="B317" s="454" t="s">
        <v>469</v>
      </c>
    </row>
    <row r="318" spans="1:2">
      <c r="A318" s="454" t="s">
        <v>179</v>
      </c>
      <c r="B318" s="454" t="s">
        <v>470</v>
      </c>
    </row>
    <row r="319" spans="1:2">
      <c r="A319" s="454" t="s">
        <v>179</v>
      </c>
      <c r="B319" s="454" t="s">
        <v>471</v>
      </c>
    </row>
    <row r="320" spans="1:2">
      <c r="A320" s="454" t="s">
        <v>179</v>
      </c>
      <c r="B320" s="454" t="s">
        <v>472</v>
      </c>
    </row>
    <row r="321" spans="1:2">
      <c r="A321" s="454" t="s">
        <v>179</v>
      </c>
      <c r="B321" s="454" t="s">
        <v>473</v>
      </c>
    </row>
    <row r="322" spans="1:2">
      <c r="A322" s="454" t="s">
        <v>179</v>
      </c>
      <c r="B322" s="454" t="s">
        <v>474</v>
      </c>
    </row>
    <row r="323" spans="1:2">
      <c r="A323" s="454" t="s">
        <v>179</v>
      </c>
      <c r="B323" s="454" t="s">
        <v>475</v>
      </c>
    </row>
    <row r="324" spans="1:2">
      <c r="A324" s="454" t="s">
        <v>179</v>
      </c>
      <c r="B324" s="454" t="s">
        <v>305</v>
      </c>
    </row>
    <row r="325" spans="1:2">
      <c r="A325" s="454" t="s">
        <v>179</v>
      </c>
      <c r="B325" s="454" t="s">
        <v>306</v>
      </c>
    </row>
    <row r="326" spans="1:2">
      <c r="A326" s="454" t="s">
        <v>179</v>
      </c>
      <c r="B326" s="454" t="s">
        <v>307</v>
      </c>
    </row>
    <row r="327" spans="1:2">
      <c r="A327" s="454" t="s">
        <v>179</v>
      </c>
      <c r="B327" s="454" t="s">
        <v>476</v>
      </c>
    </row>
    <row r="328" spans="1:2">
      <c r="A328" s="454" t="s">
        <v>179</v>
      </c>
      <c r="B328" s="454" t="s">
        <v>312</v>
      </c>
    </row>
    <row r="329" spans="1:2">
      <c r="A329" s="454" t="s">
        <v>179</v>
      </c>
      <c r="B329" s="454" t="s">
        <v>313</v>
      </c>
    </row>
    <row r="330" spans="1:2">
      <c r="A330" s="454" t="s">
        <v>179</v>
      </c>
      <c r="B330" s="454" t="s">
        <v>314</v>
      </c>
    </row>
    <row r="331" spans="1:2">
      <c r="A331" s="454" t="s">
        <v>179</v>
      </c>
      <c r="B331" s="454" t="s">
        <v>477</v>
      </c>
    </row>
    <row r="332" spans="1:2">
      <c r="A332" s="454" t="s">
        <v>179</v>
      </c>
      <c r="B332" s="454" t="s">
        <v>319</v>
      </c>
    </row>
    <row r="333" spans="1:2">
      <c r="A333" s="454" t="s">
        <v>179</v>
      </c>
      <c r="B333" s="454" t="s">
        <v>320</v>
      </c>
    </row>
    <row r="334" spans="1:2">
      <c r="A334" s="454" t="s">
        <v>179</v>
      </c>
      <c r="B334" s="454" t="s">
        <v>321</v>
      </c>
    </row>
    <row r="335" spans="1:2">
      <c r="A335" s="454" t="s">
        <v>179</v>
      </c>
      <c r="B335" s="454" t="s">
        <v>478</v>
      </c>
    </row>
    <row r="336" spans="1:2">
      <c r="A336" s="454" t="s">
        <v>179</v>
      </c>
      <c r="B336" s="454" t="s">
        <v>326</v>
      </c>
    </row>
    <row r="337" spans="1:2">
      <c r="A337" s="454" t="s">
        <v>179</v>
      </c>
      <c r="B337" s="454" t="s">
        <v>327</v>
      </c>
    </row>
    <row r="338" spans="1:2">
      <c r="A338" s="454" t="s">
        <v>179</v>
      </c>
      <c r="B338" s="454" t="s">
        <v>328</v>
      </c>
    </row>
    <row r="339" spans="1:2">
      <c r="A339" s="454" t="s">
        <v>179</v>
      </c>
      <c r="B339" s="454" t="s">
        <v>479</v>
      </c>
    </row>
    <row r="340" spans="1:2">
      <c r="A340" s="454" t="s">
        <v>179</v>
      </c>
      <c r="B340" s="454" t="s">
        <v>333</v>
      </c>
    </row>
    <row r="341" spans="1:2">
      <c r="A341" s="454" t="s">
        <v>179</v>
      </c>
      <c r="B341" s="454" t="s">
        <v>334</v>
      </c>
    </row>
    <row r="342" spans="1:2">
      <c r="A342" s="454" t="s">
        <v>179</v>
      </c>
      <c r="B342" s="454" t="s">
        <v>335</v>
      </c>
    </row>
    <row r="343" spans="1:2">
      <c r="A343" s="454" t="s">
        <v>179</v>
      </c>
      <c r="B343" s="454" t="s">
        <v>480</v>
      </c>
    </row>
    <row r="344" spans="1:2">
      <c r="A344" s="454" t="s">
        <v>179</v>
      </c>
      <c r="B344" s="454" t="s">
        <v>481</v>
      </c>
    </row>
    <row r="345" spans="1:2">
      <c r="A345" s="454" t="s">
        <v>179</v>
      </c>
      <c r="B345" s="454" t="s">
        <v>482</v>
      </c>
    </row>
    <row r="346" spans="1:2">
      <c r="A346" s="454" t="s">
        <v>179</v>
      </c>
      <c r="B346" s="454" t="s">
        <v>483</v>
      </c>
    </row>
    <row r="347" spans="1:2">
      <c r="A347" s="454" t="s">
        <v>179</v>
      </c>
      <c r="B347" s="454" t="s">
        <v>484</v>
      </c>
    </row>
    <row r="348" spans="1:2">
      <c r="A348" s="454" t="s">
        <v>179</v>
      </c>
      <c r="B348" s="454" t="s">
        <v>485</v>
      </c>
    </row>
    <row r="349" spans="1:2">
      <c r="A349" s="454" t="s">
        <v>179</v>
      </c>
      <c r="B349" s="454" t="s">
        <v>486</v>
      </c>
    </row>
    <row r="350" spans="1:2">
      <c r="A350" s="454" t="s">
        <v>179</v>
      </c>
      <c r="B350" s="454" t="s">
        <v>487</v>
      </c>
    </row>
    <row r="351" spans="1:2">
      <c r="A351" s="454" t="s">
        <v>179</v>
      </c>
      <c r="B351" s="454" t="s">
        <v>488</v>
      </c>
    </row>
    <row r="352" spans="1:2">
      <c r="A352" s="454" t="s">
        <v>179</v>
      </c>
      <c r="B352" s="454" t="s">
        <v>203</v>
      </c>
    </row>
    <row r="353" spans="1:2">
      <c r="A353" s="454" t="s">
        <v>179</v>
      </c>
      <c r="B353" s="454" t="s">
        <v>206</v>
      </c>
    </row>
    <row r="354" spans="1:2">
      <c r="A354" s="454" t="s">
        <v>179</v>
      </c>
      <c r="B354" s="454" t="s">
        <v>209</v>
      </c>
    </row>
    <row r="355" spans="1:2">
      <c r="A355" s="454" t="s">
        <v>179</v>
      </c>
      <c r="B355" s="454" t="s">
        <v>211</v>
      </c>
    </row>
    <row r="356" spans="1:2">
      <c r="A356" s="454" t="s">
        <v>179</v>
      </c>
      <c r="B356" s="454" t="s">
        <v>489</v>
      </c>
    </row>
    <row r="357" spans="1:2">
      <c r="A357" s="454" t="s">
        <v>179</v>
      </c>
      <c r="B357" s="454" t="s">
        <v>490</v>
      </c>
    </row>
    <row r="358" spans="1:2">
      <c r="A358" s="454" t="s">
        <v>179</v>
      </c>
      <c r="B358" s="454" t="s">
        <v>491</v>
      </c>
    </row>
    <row r="359" spans="1:2">
      <c r="A359" s="454" t="s">
        <v>179</v>
      </c>
      <c r="B359" s="454" t="s">
        <v>492</v>
      </c>
    </row>
    <row r="360" spans="1:2">
      <c r="A360" s="454" t="s">
        <v>179</v>
      </c>
      <c r="B360" s="454" t="s">
        <v>493</v>
      </c>
    </row>
    <row r="361" spans="1:2">
      <c r="A361" s="454" t="s">
        <v>179</v>
      </c>
      <c r="B361" s="454" t="s">
        <v>494</v>
      </c>
    </row>
    <row r="362" spans="1:2">
      <c r="A362" s="454" t="s">
        <v>179</v>
      </c>
      <c r="B362" s="454" t="s">
        <v>495</v>
      </c>
    </row>
    <row r="363" spans="1:2">
      <c r="A363" s="454" t="s">
        <v>179</v>
      </c>
      <c r="B363" s="454" t="s">
        <v>496</v>
      </c>
    </row>
    <row r="364" spans="1:2">
      <c r="A364" s="454" t="s">
        <v>179</v>
      </c>
      <c r="B364" s="454" t="s">
        <v>497</v>
      </c>
    </row>
    <row r="365" spans="1:2">
      <c r="A365" s="454" t="s">
        <v>179</v>
      </c>
      <c r="B365" s="454" t="s">
        <v>498</v>
      </c>
    </row>
    <row r="366" spans="1:2">
      <c r="A366" s="454" t="s">
        <v>179</v>
      </c>
      <c r="B366" s="454" t="s">
        <v>499</v>
      </c>
    </row>
    <row r="367" spans="1:2">
      <c r="A367" s="454" t="s">
        <v>179</v>
      </c>
      <c r="B367" s="454" t="s">
        <v>500</v>
      </c>
    </row>
    <row r="368" spans="1:2">
      <c r="A368" s="454" t="s">
        <v>179</v>
      </c>
      <c r="B368" s="454" t="s">
        <v>339</v>
      </c>
    </row>
    <row r="369" spans="1:2">
      <c r="A369" s="454" t="s">
        <v>179</v>
      </c>
      <c r="B369" s="454" t="s">
        <v>340</v>
      </c>
    </row>
    <row r="370" spans="1:2">
      <c r="A370" s="454" t="s">
        <v>179</v>
      </c>
      <c r="B370" s="454" t="s">
        <v>341</v>
      </c>
    </row>
    <row r="371" spans="1:2">
      <c r="A371" s="454" t="s">
        <v>179</v>
      </c>
      <c r="B371" s="454" t="s">
        <v>501</v>
      </c>
    </row>
    <row r="372" spans="1:2">
      <c r="A372" s="454" t="s">
        <v>179</v>
      </c>
      <c r="B372" s="454" t="s">
        <v>346</v>
      </c>
    </row>
    <row r="373" spans="1:2">
      <c r="A373" s="454" t="s">
        <v>179</v>
      </c>
      <c r="B373" s="454" t="s">
        <v>347</v>
      </c>
    </row>
    <row r="374" spans="1:2">
      <c r="A374" s="454" t="s">
        <v>179</v>
      </c>
      <c r="B374" s="454" t="s">
        <v>348</v>
      </c>
    </row>
    <row r="375" spans="1:2">
      <c r="A375" s="454" t="s">
        <v>179</v>
      </c>
      <c r="B375" s="454" t="s">
        <v>502</v>
      </c>
    </row>
    <row r="376" spans="1:2">
      <c r="A376" s="454" t="s">
        <v>179</v>
      </c>
      <c r="B376" s="454" t="s">
        <v>353</v>
      </c>
    </row>
    <row r="377" spans="1:2">
      <c r="A377" s="454" t="s">
        <v>179</v>
      </c>
      <c r="B377" s="454" t="s">
        <v>354</v>
      </c>
    </row>
    <row r="378" spans="1:2">
      <c r="A378" s="454" t="s">
        <v>179</v>
      </c>
      <c r="B378" s="454" t="s">
        <v>355</v>
      </c>
    </row>
    <row r="379" spans="1:2">
      <c r="A379" s="454" t="s">
        <v>179</v>
      </c>
      <c r="B379" s="454" t="s">
        <v>503</v>
      </c>
    </row>
    <row r="380" spans="1:2">
      <c r="A380" s="454" t="s">
        <v>179</v>
      </c>
      <c r="B380" s="454" t="s">
        <v>360</v>
      </c>
    </row>
    <row r="381" spans="1:2">
      <c r="A381" s="454" t="s">
        <v>179</v>
      </c>
      <c r="B381" s="454" t="s">
        <v>361</v>
      </c>
    </row>
    <row r="382" spans="1:2">
      <c r="A382" s="454" t="s">
        <v>179</v>
      </c>
      <c r="B382" s="454" t="s">
        <v>362</v>
      </c>
    </row>
    <row r="383" spans="1:2">
      <c r="A383" s="454" t="s">
        <v>179</v>
      </c>
      <c r="B383" s="454" t="s">
        <v>504</v>
      </c>
    </row>
    <row r="384" spans="1:2">
      <c r="A384" s="454" t="s">
        <v>179</v>
      </c>
      <c r="B384" s="454" t="s">
        <v>367</v>
      </c>
    </row>
    <row r="385" spans="1:2">
      <c r="A385" s="454" t="s">
        <v>179</v>
      </c>
      <c r="B385" s="454" t="s">
        <v>368</v>
      </c>
    </row>
    <row r="386" spans="1:2">
      <c r="A386" s="454" t="s">
        <v>179</v>
      </c>
      <c r="B386" s="454" t="s">
        <v>369</v>
      </c>
    </row>
    <row r="387" spans="1:2">
      <c r="A387" s="454" t="s">
        <v>179</v>
      </c>
      <c r="B387" s="454" t="s">
        <v>505</v>
      </c>
    </row>
    <row r="388" spans="1:2">
      <c r="A388" s="454" t="s">
        <v>179</v>
      </c>
      <c r="B388" s="454" t="s">
        <v>506</v>
      </c>
    </row>
    <row r="389" spans="1:2">
      <c r="A389" s="454" t="s">
        <v>179</v>
      </c>
      <c r="B389" s="454" t="s">
        <v>507</v>
      </c>
    </row>
    <row r="390" spans="1:2">
      <c r="A390" s="454" t="s">
        <v>179</v>
      </c>
      <c r="B390" s="454" t="s">
        <v>508</v>
      </c>
    </row>
    <row r="391" spans="1:2">
      <c r="A391" s="454" t="s">
        <v>179</v>
      </c>
      <c r="B391" s="454" t="s">
        <v>509</v>
      </c>
    </row>
    <row r="392" spans="1:2">
      <c r="A392" s="454" t="s">
        <v>179</v>
      </c>
      <c r="B392" s="454" t="s">
        <v>510</v>
      </c>
    </row>
    <row r="393" spans="1:2">
      <c r="A393" s="454" t="s">
        <v>179</v>
      </c>
      <c r="B393" s="454" t="s">
        <v>511</v>
      </c>
    </row>
    <row r="394" spans="1:2">
      <c r="A394" s="454" t="s">
        <v>179</v>
      </c>
      <c r="B394" s="454" t="s">
        <v>512</v>
      </c>
    </row>
    <row r="395" spans="1:2">
      <c r="A395" s="454" t="s">
        <v>179</v>
      </c>
      <c r="B395" s="454" t="s">
        <v>513</v>
      </c>
    </row>
    <row r="396" spans="1:2">
      <c r="A396" s="454" t="s">
        <v>179</v>
      </c>
      <c r="B396" s="454" t="s">
        <v>514</v>
      </c>
    </row>
    <row r="397" spans="1:2">
      <c r="A397" s="454" t="s">
        <v>179</v>
      </c>
      <c r="B397" s="454" t="s">
        <v>515</v>
      </c>
    </row>
    <row r="398" spans="1:2">
      <c r="A398" s="454" t="s">
        <v>179</v>
      </c>
      <c r="B398" s="454" t="s">
        <v>516</v>
      </c>
    </row>
    <row r="399" spans="1:2">
      <c r="A399" s="454" t="s">
        <v>179</v>
      </c>
      <c r="B399" s="454" t="s">
        <v>517</v>
      </c>
    </row>
    <row r="400" spans="1:2">
      <c r="A400" s="454" t="s">
        <v>179</v>
      </c>
      <c r="B400" s="454" t="s">
        <v>518</v>
      </c>
    </row>
    <row r="401" spans="1:2">
      <c r="A401" s="454" t="s">
        <v>179</v>
      </c>
      <c r="B401" s="454" t="s">
        <v>519</v>
      </c>
    </row>
    <row r="402" spans="1:2">
      <c r="A402" s="454" t="s">
        <v>179</v>
      </c>
      <c r="B402" s="454" t="s">
        <v>520</v>
      </c>
    </row>
    <row r="403" spans="1:2">
      <c r="A403" s="454" t="s">
        <v>179</v>
      </c>
      <c r="B403" s="454" t="s">
        <v>521</v>
      </c>
    </row>
    <row r="404" spans="1:2">
      <c r="A404" s="454" t="s">
        <v>179</v>
      </c>
      <c r="B404" s="454" t="s">
        <v>522</v>
      </c>
    </row>
    <row r="405" spans="1:2">
      <c r="A405" s="454" t="s">
        <v>179</v>
      </c>
      <c r="B405" s="454" t="s">
        <v>523</v>
      </c>
    </row>
    <row r="406" spans="1:2">
      <c r="A406" s="454" t="s">
        <v>179</v>
      </c>
      <c r="B406" s="454" t="s">
        <v>524</v>
      </c>
    </row>
    <row r="407" spans="1:2">
      <c r="A407" s="454" t="s">
        <v>179</v>
      </c>
      <c r="B407" s="454" t="s">
        <v>525</v>
      </c>
    </row>
    <row r="408" spans="1:2">
      <c r="A408" s="454" t="s">
        <v>179</v>
      </c>
      <c r="B408" s="454" t="s">
        <v>526</v>
      </c>
    </row>
    <row r="409" spans="1:2">
      <c r="A409" s="454" t="s">
        <v>179</v>
      </c>
      <c r="B409" s="454" t="s">
        <v>527</v>
      </c>
    </row>
    <row r="410" spans="1:2">
      <c r="A410" s="454" t="s">
        <v>179</v>
      </c>
      <c r="B410" s="454" t="s">
        <v>528</v>
      </c>
    </row>
    <row r="411" spans="1:2">
      <c r="A411" s="454" t="s">
        <v>179</v>
      </c>
      <c r="B411" s="454" t="s">
        <v>529</v>
      </c>
    </row>
    <row r="412" spans="1:2">
      <c r="A412" s="454" t="s">
        <v>179</v>
      </c>
      <c r="B412" s="454" t="s">
        <v>375</v>
      </c>
    </row>
    <row r="413" spans="1:2">
      <c r="A413" s="454" t="s">
        <v>179</v>
      </c>
      <c r="B413" s="454" t="s">
        <v>376</v>
      </c>
    </row>
    <row r="414" spans="1:2">
      <c r="A414" s="454" t="s">
        <v>179</v>
      </c>
      <c r="B414" s="454" t="s">
        <v>377</v>
      </c>
    </row>
    <row r="415" spans="1:2">
      <c r="A415" s="454" t="s">
        <v>179</v>
      </c>
      <c r="B415" s="454" t="s">
        <v>530</v>
      </c>
    </row>
    <row r="416" spans="1:2">
      <c r="A416" s="454" t="s">
        <v>179</v>
      </c>
      <c r="B416" s="454" t="s">
        <v>382</v>
      </c>
    </row>
    <row r="417" spans="1:2">
      <c r="A417" s="454" t="s">
        <v>179</v>
      </c>
      <c r="B417" s="454" t="s">
        <v>383</v>
      </c>
    </row>
    <row r="418" spans="1:2">
      <c r="A418" s="454" t="s">
        <v>179</v>
      </c>
      <c r="B418" s="454" t="s">
        <v>384</v>
      </c>
    </row>
    <row r="419" spans="1:2">
      <c r="A419" s="454" t="s">
        <v>179</v>
      </c>
      <c r="B419" s="454" t="s">
        <v>531</v>
      </c>
    </row>
    <row r="420" spans="1:2">
      <c r="A420" s="454" t="s">
        <v>179</v>
      </c>
      <c r="B420" s="454" t="s">
        <v>389</v>
      </c>
    </row>
    <row r="421" spans="1:2">
      <c r="A421" s="454" t="s">
        <v>179</v>
      </c>
      <c r="B421" s="454" t="s">
        <v>390</v>
      </c>
    </row>
    <row r="422" spans="1:2">
      <c r="A422" s="454" t="s">
        <v>179</v>
      </c>
      <c r="B422" s="454" t="s">
        <v>391</v>
      </c>
    </row>
    <row r="423" spans="1:2">
      <c r="A423" s="454" t="s">
        <v>179</v>
      </c>
      <c r="B423" s="454" t="s">
        <v>532</v>
      </c>
    </row>
    <row r="424" spans="1:2">
      <c r="A424" s="454" t="s">
        <v>179</v>
      </c>
      <c r="B424" s="454" t="s">
        <v>396</v>
      </c>
    </row>
    <row r="425" spans="1:2">
      <c r="A425" s="454" t="s">
        <v>179</v>
      </c>
      <c r="B425" s="454" t="s">
        <v>397</v>
      </c>
    </row>
    <row r="426" spans="1:2">
      <c r="A426" s="454" t="s">
        <v>179</v>
      </c>
      <c r="B426" s="454" t="s">
        <v>398</v>
      </c>
    </row>
    <row r="427" spans="1:2">
      <c r="A427" s="454" t="s">
        <v>179</v>
      </c>
      <c r="B427" s="454" t="s">
        <v>533</v>
      </c>
    </row>
    <row r="428" spans="1:2">
      <c r="A428" s="454" t="s">
        <v>179</v>
      </c>
      <c r="B428" s="454" t="s">
        <v>403</v>
      </c>
    </row>
    <row r="429" spans="1:2">
      <c r="A429" s="454" t="s">
        <v>179</v>
      </c>
      <c r="B429" s="454" t="s">
        <v>404</v>
      </c>
    </row>
    <row r="430" spans="1:2">
      <c r="A430" s="454" t="s">
        <v>179</v>
      </c>
      <c r="B430" s="454" t="s">
        <v>405</v>
      </c>
    </row>
    <row r="431" spans="1:2">
      <c r="A431" s="454" t="s">
        <v>179</v>
      </c>
      <c r="B431" s="454" t="s">
        <v>534</v>
      </c>
    </row>
    <row r="432" spans="1:2">
      <c r="A432" s="454" t="s">
        <v>179</v>
      </c>
      <c r="B432" s="454" t="s">
        <v>535</v>
      </c>
    </row>
    <row r="433" spans="1:2">
      <c r="A433" s="454" t="s">
        <v>179</v>
      </c>
      <c r="B433" s="454" t="s">
        <v>536</v>
      </c>
    </row>
    <row r="434" spans="1:2">
      <c r="A434" s="454" t="s">
        <v>179</v>
      </c>
      <c r="B434" s="454" t="s">
        <v>537</v>
      </c>
    </row>
    <row r="435" spans="1:2">
      <c r="A435" s="454" t="s">
        <v>179</v>
      </c>
      <c r="B435" s="454" t="s">
        <v>538</v>
      </c>
    </row>
    <row r="436" spans="1:2">
      <c r="A436" s="454" t="s">
        <v>179</v>
      </c>
      <c r="B436" s="454" t="s">
        <v>539</v>
      </c>
    </row>
    <row r="437" spans="1:2">
      <c r="A437" s="454" t="s">
        <v>179</v>
      </c>
      <c r="B437" s="454" t="s">
        <v>540</v>
      </c>
    </row>
    <row r="438" spans="1:2">
      <c r="A438" s="454" t="s">
        <v>179</v>
      </c>
      <c r="B438" s="454" t="s">
        <v>541</v>
      </c>
    </row>
    <row r="439" spans="1:2">
      <c r="A439" s="454" t="s">
        <v>179</v>
      </c>
      <c r="B439" s="454" t="s">
        <v>542</v>
      </c>
    </row>
    <row r="440" spans="1:2">
      <c r="A440" s="454" t="s">
        <v>179</v>
      </c>
      <c r="B440" s="454" t="s">
        <v>543</v>
      </c>
    </row>
    <row r="441" spans="1:2">
      <c r="A441" s="454" t="s">
        <v>179</v>
      </c>
      <c r="B441" s="454" t="s">
        <v>544</v>
      </c>
    </row>
    <row r="442" spans="1:2">
      <c r="A442" s="454" t="s">
        <v>179</v>
      </c>
      <c r="B442" s="454" t="s">
        <v>545</v>
      </c>
    </row>
    <row r="443" spans="1:2">
      <c r="A443" s="454" t="s">
        <v>179</v>
      </c>
      <c r="B443" s="454" t="s">
        <v>546</v>
      </c>
    </row>
    <row r="444" spans="1:2">
      <c r="A444" s="454" t="s">
        <v>179</v>
      </c>
      <c r="B444" s="454" t="s">
        <v>547</v>
      </c>
    </row>
    <row r="445" spans="1:2">
      <c r="A445" s="454" t="s">
        <v>179</v>
      </c>
      <c r="B445" s="454" t="s">
        <v>548</v>
      </c>
    </row>
    <row r="446" spans="1:2">
      <c r="A446" s="454" t="s">
        <v>179</v>
      </c>
      <c r="B446" s="454" t="s">
        <v>549</v>
      </c>
    </row>
    <row r="447" spans="1:2">
      <c r="A447" s="454" t="s">
        <v>179</v>
      </c>
      <c r="B447" s="454" t="s">
        <v>550</v>
      </c>
    </row>
    <row r="448" spans="1:2">
      <c r="A448" s="454" t="s">
        <v>179</v>
      </c>
      <c r="B448" s="454" t="s">
        <v>551</v>
      </c>
    </row>
    <row r="449" spans="1:2">
      <c r="A449" s="454" t="s">
        <v>179</v>
      </c>
      <c r="B449" s="454" t="s">
        <v>552</v>
      </c>
    </row>
    <row r="450" spans="1:2">
      <c r="A450" s="454" t="s">
        <v>179</v>
      </c>
      <c r="B450" s="454" t="s">
        <v>553</v>
      </c>
    </row>
    <row r="451" spans="1:2">
      <c r="A451" s="454" t="s">
        <v>179</v>
      </c>
      <c r="B451" s="454" t="s">
        <v>554</v>
      </c>
    </row>
    <row r="452" spans="1:2">
      <c r="A452" s="454" t="s">
        <v>179</v>
      </c>
      <c r="B452" s="454" t="s">
        <v>555</v>
      </c>
    </row>
    <row r="453" spans="1:2">
      <c r="A453" s="454" t="s">
        <v>179</v>
      </c>
      <c r="B453" s="454" t="s">
        <v>556</v>
      </c>
    </row>
    <row r="454" spans="1:2">
      <c r="A454" s="454" t="s">
        <v>179</v>
      </c>
      <c r="B454" s="454" t="s">
        <v>557</v>
      </c>
    </row>
    <row r="455" spans="1:2">
      <c r="A455" s="454" t="s">
        <v>179</v>
      </c>
      <c r="B455" s="454" t="s">
        <v>558</v>
      </c>
    </row>
    <row r="456" spans="1:2">
      <c r="A456" s="454" t="s">
        <v>179</v>
      </c>
      <c r="B456" s="454" t="s">
        <v>559</v>
      </c>
    </row>
    <row r="457" spans="1:2">
      <c r="A457" s="454" t="s">
        <v>179</v>
      </c>
      <c r="B457" s="454" t="s">
        <v>560</v>
      </c>
    </row>
    <row r="458" spans="1:2">
      <c r="A458" s="454" t="s">
        <v>179</v>
      </c>
      <c r="B458" s="454" t="s">
        <v>561</v>
      </c>
    </row>
    <row r="459" spans="1:2">
      <c r="A459" s="454" t="s">
        <v>179</v>
      </c>
      <c r="B459" s="454" t="s">
        <v>562</v>
      </c>
    </row>
    <row r="460" spans="1:2">
      <c r="A460" s="454" t="s">
        <v>179</v>
      </c>
      <c r="B460" s="454" t="s">
        <v>563</v>
      </c>
    </row>
    <row r="461" spans="1:2">
      <c r="A461" s="454" t="s">
        <v>179</v>
      </c>
      <c r="B461" s="454" t="s">
        <v>564</v>
      </c>
    </row>
    <row r="462" spans="1:2">
      <c r="A462" s="454" t="s">
        <v>179</v>
      </c>
      <c r="B462" s="454" t="s">
        <v>565</v>
      </c>
    </row>
    <row r="463" spans="1:2">
      <c r="A463" s="454" t="s">
        <v>179</v>
      </c>
      <c r="B463" s="454" t="s">
        <v>566</v>
      </c>
    </row>
    <row r="464" spans="1:2">
      <c r="A464" s="454" t="s">
        <v>179</v>
      </c>
      <c r="B464" s="454" t="s">
        <v>567</v>
      </c>
    </row>
    <row r="465" spans="1:2">
      <c r="A465" s="454" t="s">
        <v>179</v>
      </c>
      <c r="B465" s="454" t="s">
        <v>568</v>
      </c>
    </row>
    <row r="466" spans="1:2">
      <c r="A466" s="454" t="s">
        <v>179</v>
      </c>
      <c r="B466" s="454" t="s">
        <v>569</v>
      </c>
    </row>
    <row r="467" spans="1:2">
      <c r="A467" s="454" t="s">
        <v>179</v>
      </c>
      <c r="B467" s="454" t="s">
        <v>570</v>
      </c>
    </row>
    <row r="468" spans="1:2">
      <c r="A468" s="454" t="s">
        <v>179</v>
      </c>
      <c r="B468" s="454" t="s">
        <v>571</v>
      </c>
    </row>
    <row r="469" spans="1:2">
      <c r="A469" s="454" t="s">
        <v>179</v>
      </c>
      <c r="B469" s="454" t="s">
        <v>572</v>
      </c>
    </row>
    <row r="470" spans="1:2">
      <c r="A470" s="454" t="s">
        <v>179</v>
      </c>
      <c r="B470" s="454" t="s">
        <v>573</v>
      </c>
    </row>
    <row r="471" spans="1:2">
      <c r="A471" s="454" t="s">
        <v>179</v>
      </c>
      <c r="B471" s="454" t="s">
        <v>574</v>
      </c>
    </row>
    <row r="472" spans="1:2">
      <c r="A472" s="454" t="s">
        <v>179</v>
      </c>
      <c r="B472" s="454" t="s">
        <v>575</v>
      </c>
    </row>
    <row r="473" spans="1:2">
      <c r="A473" s="454" t="s">
        <v>179</v>
      </c>
      <c r="B473" s="454" t="s">
        <v>576</v>
      </c>
    </row>
    <row r="474" spans="1:2">
      <c r="A474" s="454" t="s">
        <v>179</v>
      </c>
      <c r="B474" s="454" t="s">
        <v>577</v>
      </c>
    </row>
    <row r="475" spans="1:2">
      <c r="A475" s="454" t="s">
        <v>179</v>
      </c>
      <c r="B475" s="454" t="s">
        <v>578</v>
      </c>
    </row>
    <row r="476" spans="1:2">
      <c r="A476" s="454" t="s">
        <v>179</v>
      </c>
      <c r="B476" s="454" t="s">
        <v>579</v>
      </c>
    </row>
    <row r="477" spans="1:2">
      <c r="A477" s="454" t="s">
        <v>179</v>
      </c>
      <c r="B477" s="454" t="s">
        <v>580</v>
      </c>
    </row>
    <row r="478" spans="1:2">
      <c r="A478" s="454" t="s">
        <v>179</v>
      </c>
      <c r="B478" s="454" t="s">
        <v>581</v>
      </c>
    </row>
    <row r="479" spans="1:2">
      <c r="A479" s="454" t="s">
        <v>179</v>
      </c>
      <c r="B479" s="454" t="s">
        <v>582</v>
      </c>
    </row>
    <row r="480" spans="1:2">
      <c r="A480" s="454" t="s">
        <v>179</v>
      </c>
      <c r="B480" s="454" t="s">
        <v>583</v>
      </c>
    </row>
    <row r="481" spans="1:2">
      <c r="A481" s="454" t="s">
        <v>179</v>
      </c>
      <c r="B481" s="454" t="s">
        <v>584</v>
      </c>
    </row>
    <row r="482" spans="1:2">
      <c r="A482" s="454" t="s">
        <v>179</v>
      </c>
      <c r="B482" s="454" t="s">
        <v>585</v>
      </c>
    </row>
    <row r="483" spans="1:2">
      <c r="A483" s="454" t="s">
        <v>179</v>
      </c>
      <c r="B483" s="454" t="s">
        <v>586</v>
      </c>
    </row>
    <row r="484" spans="1:2">
      <c r="A484" s="454" t="s">
        <v>179</v>
      </c>
      <c r="B484" s="454" t="s">
        <v>587</v>
      </c>
    </row>
    <row r="485" spans="1:2">
      <c r="A485" s="454" t="s">
        <v>179</v>
      </c>
      <c r="B485" s="454" t="s">
        <v>588</v>
      </c>
    </row>
    <row r="486" spans="1:2">
      <c r="A486" s="454" t="s">
        <v>179</v>
      </c>
      <c r="B486" s="454" t="s">
        <v>589</v>
      </c>
    </row>
    <row r="487" spans="1:2">
      <c r="A487" s="454" t="s">
        <v>179</v>
      </c>
      <c r="B487" s="454" t="s">
        <v>590</v>
      </c>
    </row>
    <row r="488" spans="1:2">
      <c r="A488" s="454" t="s">
        <v>179</v>
      </c>
      <c r="B488" s="454" t="s">
        <v>591</v>
      </c>
    </row>
    <row r="489" spans="1:2">
      <c r="A489" s="454" t="s">
        <v>179</v>
      </c>
      <c r="B489" s="454" t="s">
        <v>592</v>
      </c>
    </row>
    <row r="490" spans="1:2">
      <c r="A490" s="454" t="s">
        <v>179</v>
      </c>
      <c r="B490" s="454" t="s">
        <v>593</v>
      </c>
    </row>
    <row r="491" spans="1:2">
      <c r="A491" s="454" t="s">
        <v>179</v>
      </c>
      <c r="B491" s="454" t="s">
        <v>594</v>
      </c>
    </row>
    <row r="492" spans="1:2">
      <c r="A492" s="454" t="s">
        <v>179</v>
      </c>
      <c r="B492" s="454" t="s">
        <v>595</v>
      </c>
    </row>
    <row r="493" spans="1:2">
      <c r="A493" s="454" t="s">
        <v>179</v>
      </c>
      <c r="B493" s="454" t="s">
        <v>596</v>
      </c>
    </row>
    <row r="494" spans="1:2">
      <c r="A494" s="454" t="s">
        <v>179</v>
      </c>
      <c r="B494" s="454" t="s">
        <v>597</v>
      </c>
    </row>
    <row r="495" spans="1:2">
      <c r="A495" s="454" t="s">
        <v>179</v>
      </c>
      <c r="B495" s="454" t="s">
        <v>598</v>
      </c>
    </row>
    <row r="496" spans="1:2">
      <c r="A496" s="454" t="s">
        <v>179</v>
      </c>
      <c r="B496" s="454" t="s">
        <v>599</v>
      </c>
    </row>
    <row r="497" spans="1:2">
      <c r="A497" s="454" t="s">
        <v>179</v>
      </c>
      <c r="B497" s="454" t="s">
        <v>600</v>
      </c>
    </row>
    <row r="498" spans="1:2">
      <c r="A498" s="454" t="s">
        <v>179</v>
      </c>
      <c r="B498" s="454" t="s">
        <v>601</v>
      </c>
    </row>
    <row r="499" spans="1:2">
      <c r="A499" s="454" t="s">
        <v>179</v>
      </c>
      <c r="B499" s="454" t="s">
        <v>602</v>
      </c>
    </row>
    <row r="500" spans="1:2">
      <c r="A500" s="454" t="s">
        <v>179</v>
      </c>
      <c r="B500" s="454" t="s">
        <v>603</v>
      </c>
    </row>
    <row r="501" spans="1:2">
      <c r="A501" s="454" t="s">
        <v>179</v>
      </c>
      <c r="B501" s="454" t="s">
        <v>604</v>
      </c>
    </row>
    <row r="502" spans="1:2">
      <c r="A502" s="454" t="s">
        <v>179</v>
      </c>
      <c r="B502" s="454" t="s">
        <v>605</v>
      </c>
    </row>
    <row r="503" spans="1:2">
      <c r="A503" s="454" t="s">
        <v>179</v>
      </c>
      <c r="B503" s="454" t="s">
        <v>606</v>
      </c>
    </row>
    <row r="504" spans="1:2">
      <c r="A504" s="454" t="s">
        <v>179</v>
      </c>
      <c r="B504" s="454" t="s">
        <v>607</v>
      </c>
    </row>
    <row r="505" spans="1:2">
      <c r="A505" s="454" t="s">
        <v>179</v>
      </c>
      <c r="B505" s="454" t="s">
        <v>608</v>
      </c>
    </row>
    <row r="506" spans="1:2">
      <c r="A506" s="454" t="s">
        <v>179</v>
      </c>
      <c r="B506" s="454" t="s">
        <v>609</v>
      </c>
    </row>
    <row r="507" spans="1:2">
      <c r="A507" s="454" t="s">
        <v>179</v>
      </c>
      <c r="B507" s="454" t="s">
        <v>610</v>
      </c>
    </row>
    <row r="508" spans="1:2">
      <c r="A508" s="454" t="s">
        <v>179</v>
      </c>
      <c r="B508" s="454" t="s">
        <v>611</v>
      </c>
    </row>
    <row r="509" spans="1:2">
      <c r="A509" s="454" t="s">
        <v>179</v>
      </c>
      <c r="B509" s="454" t="s">
        <v>612</v>
      </c>
    </row>
    <row r="510" spans="1:2">
      <c r="A510" s="454" t="s">
        <v>179</v>
      </c>
      <c r="B510" s="454" t="s">
        <v>613</v>
      </c>
    </row>
    <row r="511" spans="1:2">
      <c r="A511" s="454" t="s">
        <v>179</v>
      </c>
      <c r="B511" s="454" t="s">
        <v>614</v>
      </c>
    </row>
    <row r="512" spans="1:2">
      <c r="A512" s="454" t="s">
        <v>179</v>
      </c>
      <c r="B512" s="454" t="s">
        <v>615</v>
      </c>
    </row>
    <row r="513" spans="1:2">
      <c r="A513" s="454" t="s">
        <v>179</v>
      </c>
      <c r="B513" s="454" t="s">
        <v>616</v>
      </c>
    </row>
    <row r="514" spans="1:2">
      <c r="A514" s="454" t="s">
        <v>179</v>
      </c>
      <c r="B514" s="454" t="s">
        <v>617</v>
      </c>
    </row>
    <row r="515" spans="1:2">
      <c r="A515" s="454" t="s">
        <v>179</v>
      </c>
      <c r="B515" s="454" t="s">
        <v>618</v>
      </c>
    </row>
    <row r="516" spans="1:2">
      <c r="A516" s="454" t="s">
        <v>179</v>
      </c>
      <c r="B516" s="454" t="s">
        <v>619</v>
      </c>
    </row>
    <row r="517" spans="1:2">
      <c r="A517" s="454" t="s">
        <v>179</v>
      </c>
      <c r="B517" s="454" t="s">
        <v>620</v>
      </c>
    </row>
    <row r="518" spans="1:2">
      <c r="A518" s="454" t="s">
        <v>179</v>
      </c>
      <c r="B518" s="454" t="s">
        <v>621</v>
      </c>
    </row>
    <row r="519" spans="1:2">
      <c r="A519" s="454" t="s">
        <v>179</v>
      </c>
      <c r="B519" s="454" t="s">
        <v>622</v>
      </c>
    </row>
    <row r="520" spans="1:2">
      <c r="A520" s="454" t="s">
        <v>179</v>
      </c>
      <c r="B520" s="454" t="s">
        <v>623</v>
      </c>
    </row>
    <row r="521" spans="1:2">
      <c r="A521" s="454" t="s">
        <v>179</v>
      </c>
      <c r="B521" s="454" t="s">
        <v>624</v>
      </c>
    </row>
    <row r="522" spans="1:2">
      <c r="A522" s="454" t="s">
        <v>179</v>
      </c>
      <c r="B522" s="454" t="s">
        <v>625</v>
      </c>
    </row>
    <row r="523" spans="1:2">
      <c r="A523" s="454" t="s">
        <v>179</v>
      </c>
      <c r="B523" s="454" t="s">
        <v>626</v>
      </c>
    </row>
    <row r="524" spans="1:2">
      <c r="A524" s="454" t="s">
        <v>179</v>
      </c>
      <c r="B524" s="454" t="s">
        <v>627</v>
      </c>
    </row>
    <row r="525" spans="1:2">
      <c r="A525" s="454" t="s">
        <v>179</v>
      </c>
      <c r="B525" s="454" t="s">
        <v>628</v>
      </c>
    </row>
    <row r="526" spans="1:2">
      <c r="A526" s="454" t="s">
        <v>179</v>
      </c>
      <c r="B526" s="454" t="s">
        <v>629</v>
      </c>
    </row>
    <row r="527" spans="1:2">
      <c r="A527" s="454" t="s">
        <v>179</v>
      </c>
      <c r="B527" s="454" t="s">
        <v>630</v>
      </c>
    </row>
    <row r="528" spans="1:2">
      <c r="A528" s="454" t="s">
        <v>179</v>
      </c>
      <c r="B528" s="454" t="s">
        <v>631</v>
      </c>
    </row>
    <row r="529" spans="1:2">
      <c r="A529" s="454" t="s">
        <v>179</v>
      </c>
      <c r="B529" s="454" t="s">
        <v>632</v>
      </c>
    </row>
    <row r="530" spans="1:2">
      <c r="A530" s="454" t="s">
        <v>179</v>
      </c>
      <c r="B530" s="454" t="s">
        <v>633</v>
      </c>
    </row>
    <row r="531" spans="1:2">
      <c r="A531" s="454" t="s">
        <v>179</v>
      </c>
      <c r="B531" s="454" t="s">
        <v>634</v>
      </c>
    </row>
    <row r="532" spans="1:2">
      <c r="A532" s="454" t="s">
        <v>179</v>
      </c>
      <c r="B532" s="454" t="s">
        <v>635</v>
      </c>
    </row>
    <row r="533" spans="1:2">
      <c r="A533" s="454" t="s">
        <v>179</v>
      </c>
      <c r="B533" s="454" t="s">
        <v>636</v>
      </c>
    </row>
    <row r="534" spans="1:2">
      <c r="A534" s="454" t="s">
        <v>179</v>
      </c>
      <c r="B534" s="454" t="s">
        <v>637</v>
      </c>
    </row>
    <row r="535" spans="1:2">
      <c r="A535" s="454" t="s">
        <v>179</v>
      </c>
      <c r="B535" s="454" t="s">
        <v>638</v>
      </c>
    </row>
    <row r="536" spans="1:2">
      <c r="A536" s="454" t="s">
        <v>179</v>
      </c>
      <c r="B536" s="454" t="s">
        <v>639</v>
      </c>
    </row>
    <row r="537" spans="1:2">
      <c r="A537" s="454" t="s">
        <v>179</v>
      </c>
      <c r="B537" s="454" t="s">
        <v>640</v>
      </c>
    </row>
    <row r="538" spans="1:2">
      <c r="A538" s="454" t="s">
        <v>179</v>
      </c>
      <c r="B538" s="454" t="s">
        <v>641</v>
      </c>
    </row>
    <row r="539" spans="1:2">
      <c r="A539" s="454" t="s">
        <v>179</v>
      </c>
      <c r="B539" s="454" t="s">
        <v>642</v>
      </c>
    </row>
    <row r="540" spans="1:2">
      <c r="A540" s="454" t="s">
        <v>179</v>
      </c>
      <c r="B540" s="454" t="s">
        <v>643</v>
      </c>
    </row>
    <row r="541" spans="1:2">
      <c r="A541" s="454" t="s">
        <v>179</v>
      </c>
      <c r="B541" s="454" t="s">
        <v>644</v>
      </c>
    </row>
    <row r="542" spans="1:2">
      <c r="A542" s="454" t="s">
        <v>179</v>
      </c>
      <c r="B542" s="454" t="s">
        <v>216</v>
      </c>
    </row>
    <row r="543" spans="1:2">
      <c r="A543" s="454" t="s">
        <v>179</v>
      </c>
      <c r="B543" s="454" t="s">
        <v>219</v>
      </c>
    </row>
    <row r="544" spans="1:2">
      <c r="A544" s="454" t="s">
        <v>179</v>
      </c>
      <c r="B544" s="454" t="s">
        <v>645</v>
      </c>
    </row>
    <row r="545" spans="1:3">
      <c r="A545" s="454" t="s">
        <v>179</v>
      </c>
      <c r="B545" s="454" t="s">
        <v>646</v>
      </c>
    </row>
    <row r="546" spans="1:3">
      <c r="A546" s="454" t="s">
        <v>179</v>
      </c>
      <c r="B546" s="454" t="s">
        <v>647</v>
      </c>
    </row>
    <row r="547" spans="1:3">
      <c r="A547" s="454" t="s">
        <v>179</v>
      </c>
      <c r="B547" s="454" t="s">
        <v>648</v>
      </c>
      <c r="C547" s="456"/>
    </row>
    <row r="548" spans="1:3">
      <c r="A548" s="454" t="s">
        <v>179</v>
      </c>
      <c r="B548" s="454" t="s">
        <v>649</v>
      </c>
    </row>
    <row r="549" spans="1:3">
      <c r="A549" s="454" t="s">
        <v>179</v>
      </c>
      <c r="B549" s="454" t="s">
        <v>650</v>
      </c>
    </row>
    <row r="550" spans="1:3">
      <c r="A550" s="454" t="s">
        <v>179</v>
      </c>
      <c r="B550" s="454" t="s">
        <v>651</v>
      </c>
    </row>
    <row r="551" spans="1:3">
      <c r="A551" s="454" t="s">
        <v>179</v>
      </c>
      <c r="B551" s="454" t="s">
        <v>652</v>
      </c>
    </row>
    <row r="552" spans="1:3">
      <c r="A552" s="454" t="s">
        <v>179</v>
      </c>
      <c r="B552" s="454" t="s">
        <v>653</v>
      </c>
    </row>
    <row r="553" spans="1:3">
      <c r="A553" s="454" t="s">
        <v>179</v>
      </c>
      <c r="B553" s="454" t="s">
        <v>654</v>
      </c>
    </row>
    <row r="554" spans="1:3">
      <c r="A554" s="454" t="s">
        <v>179</v>
      </c>
      <c r="B554" s="454" t="s">
        <v>655</v>
      </c>
    </row>
    <row r="555" spans="1:3">
      <c r="A555" s="454" t="s">
        <v>179</v>
      </c>
      <c r="B555" s="454" t="s">
        <v>656</v>
      </c>
    </row>
    <row r="556" spans="1:3">
      <c r="A556" s="454" t="s">
        <v>179</v>
      </c>
      <c r="B556" s="454" t="s">
        <v>657</v>
      </c>
    </row>
    <row r="557" spans="1:3">
      <c r="A557" s="454" t="s">
        <v>179</v>
      </c>
      <c r="B557" s="454" t="s">
        <v>658</v>
      </c>
    </row>
    <row r="558" spans="1:3">
      <c r="A558" s="454" t="s">
        <v>179</v>
      </c>
      <c r="B558" s="454" t="s">
        <v>659</v>
      </c>
    </row>
    <row r="559" spans="1:3">
      <c r="A559" s="454" t="s">
        <v>179</v>
      </c>
      <c r="B559" s="454" t="s">
        <v>660</v>
      </c>
    </row>
    <row r="560" spans="1:3">
      <c r="A560" s="454" t="s">
        <v>179</v>
      </c>
      <c r="B560" s="454" t="s">
        <v>661</v>
      </c>
    </row>
    <row r="561" spans="1:2">
      <c r="A561" s="454" t="s">
        <v>179</v>
      </c>
      <c r="B561" s="454" t="s">
        <v>662</v>
      </c>
    </row>
    <row r="562" spans="1:2">
      <c r="A562" s="454" t="s">
        <v>179</v>
      </c>
      <c r="B562" s="454" t="s">
        <v>663</v>
      </c>
    </row>
    <row r="563" spans="1:2">
      <c r="A563" s="454" t="s">
        <v>179</v>
      </c>
      <c r="B563" s="454" t="s">
        <v>664</v>
      </c>
    </row>
    <row r="564" spans="1:2">
      <c r="A564" s="454" t="s">
        <v>179</v>
      </c>
      <c r="B564" s="454" t="s">
        <v>665</v>
      </c>
    </row>
    <row r="565" spans="1:2">
      <c r="A565" s="454" t="s">
        <v>179</v>
      </c>
      <c r="B565" s="454" t="s">
        <v>666</v>
      </c>
    </row>
    <row r="566" spans="1:2">
      <c r="A566" s="454" t="s">
        <v>179</v>
      </c>
      <c r="B566" s="454" t="s">
        <v>667</v>
      </c>
    </row>
    <row r="567" spans="1:2">
      <c r="A567" s="454" t="s">
        <v>179</v>
      </c>
      <c r="B567" s="454" t="s">
        <v>668</v>
      </c>
    </row>
    <row r="568" spans="1:2">
      <c r="A568" s="454" t="s">
        <v>179</v>
      </c>
      <c r="B568" s="454" t="s">
        <v>669</v>
      </c>
    </row>
    <row r="569" spans="1:2">
      <c r="A569" s="454" t="s">
        <v>179</v>
      </c>
      <c r="B569" s="454" t="s">
        <v>670</v>
      </c>
    </row>
    <row r="570" spans="1:2">
      <c r="A570" s="454" t="s">
        <v>179</v>
      </c>
      <c r="B570" s="454" t="s">
        <v>671</v>
      </c>
    </row>
    <row r="571" spans="1:2">
      <c r="A571" s="454" t="s">
        <v>179</v>
      </c>
      <c r="B571" s="454" t="s">
        <v>672</v>
      </c>
    </row>
    <row r="572" spans="1:2">
      <c r="A572" s="454" t="s">
        <v>179</v>
      </c>
      <c r="B572" s="454" t="s">
        <v>673</v>
      </c>
    </row>
    <row r="573" spans="1:2">
      <c r="A573" s="454" t="s">
        <v>179</v>
      </c>
      <c r="B573" s="454" t="s">
        <v>674</v>
      </c>
    </row>
    <row r="574" spans="1:2">
      <c r="A574" s="454" t="s">
        <v>179</v>
      </c>
      <c r="B574" s="454" t="s">
        <v>675</v>
      </c>
    </row>
    <row r="575" spans="1:2">
      <c r="A575" s="454" t="s">
        <v>179</v>
      </c>
      <c r="B575" s="454" t="s">
        <v>676</v>
      </c>
    </row>
    <row r="576" spans="1:2">
      <c r="A576" s="454" t="s">
        <v>179</v>
      </c>
      <c r="B576" s="454" t="s">
        <v>677</v>
      </c>
    </row>
    <row r="577" spans="1:2">
      <c r="A577" s="454" t="s">
        <v>179</v>
      </c>
      <c r="B577" s="454" t="s">
        <v>678</v>
      </c>
    </row>
    <row r="578" spans="1:2">
      <c r="A578" s="454" t="s">
        <v>179</v>
      </c>
      <c r="B578" s="454" t="s">
        <v>679</v>
      </c>
    </row>
    <row r="579" spans="1:2">
      <c r="A579" s="454" t="s">
        <v>179</v>
      </c>
      <c r="B579" s="454" t="s">
        <v>680</v>
      </c>
    </row>
    <row r="580" spans="1:2">
      <c r="A580" s="454" t="s">
        <v>179</v>
      </c>
      <c r="B580" s="454" t="s">
        <v>681</v>
      </c>
    </row>
    <row r="581" spans="1:2">
      <c r="A581" s="454" t="s">
        <v>179</v>
      </c>
      <c r="B581" s="454" t="s">
        <v>682</v>
      </c>
    </row>
    <row r="582" spans="1:2">
      <c r="A582" s="454" t="s">
        <v>179</v>
      </c>
      <c r="B582" s="454" t="s">
        <v>683</v>
      </c>
    </row>
    <row r="583" spans="1:2">
      <c r="A583" s="454" t="s">
        <v>179</v>
      </c>
      <c r="B583" s="454" t="s">
        <v>684</v>
      </c>
    </row>
    <row r="584" spans="1:2">
      <c r="A584" s="454" t="s">
        <v>179</v>
      </c>
      <c r="B584" s="454" t="s">
        <v>685</v>
      </c>
    </row>
    <row r="585" spans="1:2">
      <c r="A585" s="454" t="s">
        <v>179</v>
      </c>
      <c r="B585" s="454" t="s">
        <v>686</v>
      </c>
    </row>
    <row r="586" spans="1:2">
      <c r="A586" s="454" t="s">
        <v>179</v>
      </c>
      <c r="B586" s="454" t="s">
        <v>687</v>
      </c>
    </row>
    <row r="587" spans="1:2">
      <c r="A587" s="454" t="s">
        <v>179</v>
      </c>
      <c r="B587" s="454" t="s">
        <v>688</v>
      </c>
    </row>
    <row r="588" spans="1:2">
      <c r="A588" s="454" t="s">
        <v>179</v>
      </c>
      <c r="B588" s="454" t="s">
        <v>689</v>
      </c>
    </row>
    <row r="589" spans="1:2">
      <c r="A589" s="454" t="s">
        <v>179</v>
      </c>
      <c r="B589" s="454" t="s">
        <v>690</v>
      </c>
    </row>
    <row r="590" spans="1:2">
      <c r="A590" s="454" t="s">
        <v>179</v>
      </c>
      <c r="B590" s="454" t="s">
        <v>691</v>
      </c>
    </row>
    <row r="591" spans="1:2">
      <c r="A591" s="454" t="s">
        <v>179</v>
      </c>
      <c r="B591" s="454" t="s">
        <v>692</v>
      </c>
    </row>
    <row r="592" spans="1:2">
      <c r="A592" s="454" t="s">
        <v>179</v>
      </c>
      <c r="B592" s="454" t="s">
        <v>693</v>
      </c>
    </row>
    <row r="593" spans="1:2">
      <c r="A593" s="454" t="s">
        <v>179</v>
      </c>
      <c r="B593" s="454" t="s">
        <v>694</v>
      </c>
    </row>
    <row r="594" spans="1:2">
      <c r="A594" s="454" t="s">
        <v>179</v>
      </c>
      <c r="B594" s="454" t="s">
        <v>695</v>
      </c>
    </row>
    <row r="595" spans="1:2">
      <c r="A595" s="454" t="s">
        <v>179</v>
      </c>
      <c r="B595" s="454" t="s">
        <v>696</v>
      </c>
    </row>
    <row r="596" spans="1:2">
      <c r="A596" s="454" t="s">
        <v>179</v>
      </c>
      <c r="B596" s="454" t="s">
        <v>697</v>
      </c>
    </row>
    <row r="597" spans="1:2">
      <c r="A597" s="454" t="s">
        <v>179</v>
      </c>
      <c r="B597" s="454" t="s">
        <v>698</v>
      </c>
    </row>
    <row r="598" spans="1:2">
      <c r="A598" s="454" t="s">
        <v>179</v>
      </c>
      <c r="B598" s="454" t="s">
        <v>699</v>
      </c>
    </row>
    <row r="599" spans="1:2">
      <c r="A599" s="454" t="s">
        <v>179</v>
      </c>
      <c r="B599" s="454" t="s">
        <v>700</v>
      </c>
    </row>
    <row r="600" spans="1:2">
      <c r="A600" s="454" t="s">
        <v>179</v>
      </c>
      <c r="B600" s="454" t="s">
        <v>701</v>
      </c>
    </row>
    <row r="601" spans="1:2">
      <c r="A601" s="454" t="s">
        <v>179</v>
      </c>
      <c r="B601" s="454" t="s">
        <v>702</v>
      </c>
    </row>
    <row r="602" spans="1:2">
      <c r="A602" s="454" t="s">
        <v>179</v>
      </c>
      <c r="B602" s="454" t="s">
        <v>703</v>
      </c>
    </row>
    <row r="603" spans="1:2">
      <c r="A603" s="454" t="s">
        <v>179</v>
      </c>
      <c r="B603" s="454" t="s">
        <v>704</v>
      </c>
    </row>
    <row r="604" spans="1:2">
      <c r="A604" s="454" t="s">
        <v>179</v>
      </c>
      <c r="B604" s="454" t="s">
        <v>705</v>
      </c>
    </row>
    <row r="605" spans="1:2">
      <c r="A605" s="454" t="s">
        <v>179</v>
      </c>
      <c r="B605" s="454" t="s">
        <v>706</v>
      </c>
    </row>
    <row r="606" spans="1:2">
      <c r="A606" s="454" t="s">
        <v>179</v>
      </c>
      <c r="B606" s="454" t="s">
        <v>707</v>
      </c>
    </row>
    <row r="607" spans="1:2">
      <c r="A607" s="454" t="s">
        <v>179</v>
      </c>
      <c r="B607" s="454" t="s">
        <v>708</v>
      </c>
    </row>
    <row r="608" spans="1:2">
      <c r="A608" s="454" t="s">
        <v>179</v>
      </c>
      <c r="B608" s="454" t="s">
        <v>709</v>
      </c>
    </row>
    <row r="609" spans="1:3">
      <c r="A609" s="454" t="s">
        <v>179</v>
      </c>
      <c r="B609" s="454" t="s">
        <v>710</v>
      </c>
    </row>
    <row r="610" spans="1:3">
      <c r="A610" s="454" t="s">
        <v>179</v>
      </c>
      <c r="B610" s="454" t="s">
        <v>711</v>
      </c>
    </row>
    <row r="611" spans="1:3">
      <c r="A611" s="454" t="s">
        <v>179</v>
      </c>
      <c r="B611" s="454" t="s">
        <v>712</v>
      </c>
    </row>
    <row r="612" spans="1:3">
      <c r="A612" s="454" t="s">
        <v>713</v>
      </c>
      <c r="B612" s="454" t="s">
        <v>714</v>
      </c>
      <c r="C612" s="454" t="s">
        <v>39</v>
      </c>
    </row>
    <row r="613" spans="1:3">
      <c r="A613" s="454" t="s">
        <v>713</v>
      </c>
      <c r="B613" s="454" t="s">
        <v>715</v>
      </c>
      <c r="C613" s="454" t="s">
        <v>716</v>
      </c>
    </row>
    <row r="614" spans="1:3">
      <c r="A614" s="454" t="s">
        <v>185</v>
      </c>
      <c r="B614" s="454" t="s">
        <v>717</v>
      </c>
      <c r="C614" s="454" t="s">
        <v>145</v>
      </c>
    </row>
    <row r="615" spans="1:3" ht="45">
      <c r="A615" s="454" t="s">
        <v>185</v>
      </c>
      <c r="B615" s="454" t="s">
        <v>169</v>
      </c>
      <c r="C615" s="456" t="s">
        <v>718</v>
      </c>
    </row>
    <row r="616" spans="1:3">
      <c r="A616" s="454" t="s">
        <v>185</v>
      </c>
      <c r="B616" s="454" t="s">
        <v>719</v>
      </c>
    </row>
    <row r="617" spans="1:3">
      <c r="A617" s="454" t="s">
        <v>185</v>
      </c>
      <c r="B617" s="454" t="s">
        <v>720</v>
      </c>
    </row>
    <row r="618" spans="1:3">
      <c r="A618" s="454" t="s">
        <v>185</v>
      </c>
      <c r="B618" s="454" t="s">
        <v>721</v>
      </c>
    </row>
    <row r="619" spans="1:3">
      <c r="A619" s="454" t="s">
        <v>185</v>
      </c>
      <c r="B619" s="454" t="s">
        <v>722</v>
      </c>
    </row>
    <row r="620" spans="1:3">
      <c r="A620" s="454" t="s">
        <v>191</v>
      </c>
      <c r="B620" s="454" t="s">
        <v>723</v>
      </c>
      <c r="C620" s="454" t="s">
        <v>724</v>
      </c>
    </row>
    <row r="621" spans="1:3">
      <c r="A621" s="454" t="s">
        <v>191</v>
      </c>
      <c r="B621" s="454" t="s">
        <v>725</v>
      </c>
      <c r="C621" s="454" t="s">
        <v>726</v>
      </c>
    </row>
    <row r="622" spans="1:3">
      <c r="A622" s="454" t="s">
        <v>191</v>
      </c>
      <c r="B622" s="454" t="s">
        <v>727</v>
      </c>
      <c r="C622" s="454" t="s">
        <v>728</v>
      </c>
    </row>
    <row r="623" spans="1:3">
      <c r="A623" s="454" t="s">
        <v>191</v>
      </c>
      <c r="B623" s="454" t="s">
        <v>210</v>
      </c>
      <c r="C623" s="454" t="s">
        <v>78</v>
      </c>
    </row>
    <row r="624" spans="1:3">
      <c r="A624" s="454" t="s">
        <v>191</v>
      </c>
      <c r="B624" s="454" t="s">
        <v>204</v>
      </c>
      <c r="C624" s="454" t="s">
        <v>729</v>
      </c>
    </row>
    <row r="625" spans="1:3">
      <c r="A625" s="454" t="s">
        <v>191</v>
      </c>
      <c r="B625" s="454" t="s">
        <v>730</v>
      </c>
      <c r="C625" s="454" t="s">
        <v>731</v>
      </c>
    </row>
    <row r="626" spans="1:3">
      <c r="A626" s="454" t="s">
        <v>191</v>
      </c>
      <c r="B626" s="454" t="s">
        <v>732</v>
      </c>
    </row>
    <row r="627" spans="1:3">
      <c r="A627" s="454" t="s">
        <v>191</v>
      </c>
      <c r="B627" s="454" t="s">
        <v>733</v>
      </c>
    </row>
    <row r="628" spans="1:3">
      <c r="A628" s="454" t="s">
        <v>191</v>
      </c>
      <c r="B628" s="454" t="s">
        <v>734</v>
      </c>
      <c r="C628" s="454">
        <v>0</v>
      </c>
    </row>
    <row r="629" spans="1:3">
      <c r="A629" s="454" t="s">
        <v>191</v>
      </c>
      <c r="B629" s="454" t="s">
        <v>735</v>
      </c>
      <c r="C629" s="454">
        <v>0</v>
      </c>
    </row>
    <row r="630" spans="1:3">
      <c r="A630" s="454" t="s">
        <v>191</v>
      </c>
      <c r="B630" s="454" t="s">
        <v>736</v>
      </c>
      <c r="C630" s="454">
        <v>0</v>
      </c>
    </row>
    <row r="631" spans="1:3">
      <c r="A631" s="454" t="s">
        <v>191</v>
      </c>
      <c r="B631" s="454" t="s">
        <v>737</v>
      </c>
      <c r="C631" s="454">
        <v>0</v>
      </c>
    </row>
    <row r="632" spans="1:3">
      <c r="A632" s="454" t="s">
        <v>191</v>
      </c>
      <c r="B632" s="454" t="s">
        <v>738</v>
      </c>
      <c r="C632" s="454">
        <v>0</v>
      </c>
    </row>
    <row r="633" spans="1:3">
      <c r="A633" s="454" t="s">
        <v>191</v>
      </c>
      <c r="B633" s="454" t="s">
        <v>739</v>
      </c>
      <c r="C633" s="454">
        <v>0</v>
      </c>
    </row>
    <row r="634" spans="1:3">
      <c r="A634" s="454" t="s">
        <v>191</v>
      </c>
      <c r="B634" s="454" t="s">
        <v>740</v>
      </c>
    </row>
    <row r="635" spans="1:3">
      <c r="A635" s="454" t="s">
        <v>191</v>
      </c>
      <c r="B635" s="454" t="s">
        <v>741</v>
      </c>
    </row>
    <row r="636" spans="1:3">
      <c r="A636" s="454" t="s">
        <v>191</v>
      </c>
      <c r="B636" s="454" t="s">
        <v>742</v>
      </c>
    </row>
    <row r="637" spans="1:3">
      <c r="A637" s="454" t="s">
        <v>191</v>
      </c>
      <c r="B637" s="454" t="s">
        <v>743</v>
      </c>
    </row>
    <row r="638" spans="1:3">
      <c r="A638" s="454" t="s">
        <v>191</v>
      </c>
      <c r="B638" s="454" t="s">
        <v>246</v>
      </c>
      <c r="C638" s="454">
        <v>0</v>
      </c>
    </row>
    <row r="639" spans="1:3">
      <c r="A639" s="454" t="s">
        <v>191</v>
      </c>
      <c r="B639" s="454" t="s">
        <v>744</v>
      </c>
      <c r="C639" s="454">
        <v>0</v>
      </c>
    </row>
    <row r="640" spans="1:3">
      <c r="A640" s="454" t="s">
        <v>191</v>
      </c>
      <c r="B640" s="454" t="s">
        <v>745</v>
      </c>
      <c r="C640" s="454">
        <v>0</v>
      </c>
    </row>
    <row r="641" spans="1:3">
      <c r="A641" s="454" t="s">
        <v>191</v>
      </c>
      <c r="B641" s="454" t="s">
        <v>746</v>
      </c>
    </row>
    <row r="642" spans="1:3">
      <c r="A642" s="454" t="s">
        <v>191</v>
      </c>
      <c r="B642" s="454" t="s">
        <v>241</v>
      </c>
    </row>
    <row r="643" spans="1:3">
      <c r="A643" s="454" t="s">
        <v>191</v>
      </c>
      <c r="B643" s="454" t="s">
        <v>747</v>
      </c>
    </row>
    <row r="644" spans="1:3">
      <c r="A644" s="454" t="s">
        <v>191</v>
      </c>
      <c r="B644" s="454" t="s">
        <v>748</v>
      </c>
    </row>
    <row r="645" spans="1:3">
      <c r="A645" s="454" t="s">
        <v>191</v>
      </c>
      <c r="B645" s="454" t="s">
        <v>749</v>
      </c>
    </row>
    <row r="646" spans="1:3">
      <c r="A646" s="454" t="s">
        <v>191</v>
      </c>
      <c r="B646" s="454" t="s">
        <v>226</v>
      </c>
      <c r="C646" s="454" t="s">
        <v>750</v>
      </c>
    </row>
    <row r="647" spans="1:3">
      <c r="A647" s="454" t="s">
        <v>191</v>
      </c>
      <c r="B647" s="454" t="s">
        <v>259</v>
      </c>
      <c r="C647" s="454">
        <v>0</v>
      </c>
    </row>
    <row r="648" spans="1:3">
      <c r="A648" s="454" t="s">
        <v>191</v>
      </c>
      <c r="B648" s="454" t="s">
        <v>262</v>
      </c>
      <c r="C648" s="454" t="s">
        <v>751</v>
      </c>
    </row>
    <row r="649" spans="1:3">
      <c r="A649" s="454" t="s">
        <v>191</v>
      </c>
      <c r="B649" s="454" t="s">
        <v>266</v>
      </c>
      <c r="C649" s="454">
        <v>0</v>
      </c>
    </row>
    <row r="650" spans="1:3">
      <c r="A650" s="454" t="s">
        <v>191</v>
      </c>
      <c r="B650" s="454" t="s">
        <v>228</v>
      </c>
      <c r="C650" s="454" t="s">
        <v>752</v>
      </c>
    </row>
    <row r="651" spans="1:3">
      <c r="A651" s="454" t="s">
        <v>191</v>
      </c>
      <c r="B651" s="454" t="s">
        <v>425</v>
      </c>
      <c r="C651" s="454">
        <v>0</v>
      </c>
    </row>
    <row r="652" spans="1:3">
      <c r="A652" s="454" t="s">
        <v>191</v>
      </c>
      <c r="B652" s="454" t="s">
        <v>753</v>
      </c>
      <c r="C652" s="454">
        <v>0</v>
      </c>
    </row>
    <row r="653" spans="1:3">
      <c r="A653" s="454" t="s">
        <v>191</v>
      </c>
      <c r="B653" s="454" t="s">
        <v>754</v>
      </c>
      <c r="C653" s="454">
        <v>0</v>
      </c>
    </row>
    <row r="654" spans="1:3">
      <c r="A654" s="454" t="s">
        <v>191</v>
      </c>
      <c r="B654" s="454" t="s">
        <v>755</v>
      </c>
      <c r="C654" s="454">
        <v>0</v>
      </c>
    </row>
    <row r="655" spans="1:3">
      <c r="A655" s="454" t="s">
        <v>191</v>
      </c>
      <c r="B655" s="454" t="s">
        <v>756</v>
      </c>
      <c r="C655" s="454">
        <v>0</v>
      </c>
    </row>
    <row r="656" spans="1:3">
      <c r="A656" s="454" t="s">
        <v>191</v>
      </c>
      <c r="B656" s="454" t="s">
        <v>596</v>
      </c>
      <c r="C656" s="454">
        <v>0</v>
      </c>
    </row>
    <row r="657" spans="1:3">
      <c r="A657" s="454" t="s">
        <v>191</v>
      </c>
      <c r="B657" s="454" t="s">
        <v>598</v>
      </c>
      <c r="C657" s="454">
        <v>0</v>
      </c>
    </row>
    <row r="658" spans="1:3">
      <c r="A658" s="454" t="s">
        <v>191</v>
      </c>
      <c r="B658" s="454" t="s">
        <v>757</v>
      </c>
    </row>
    <row r="659" spans="1:3">
      <c r="A659" s="454" t="s">
        <v>191</v>
      </c>
      <c r="B659" s="454" t="s">
        <v>758</v>
      </c>
    </row>
    <row r="660" spans="1:3">
      <c r="A660" s="454" t="s">
        <v>191</v>
      </c>
      <c r="B660" s="454" t="s">
        <v>759</v>
      </c>
    </row>
    <row r="661" spans="1:3">
      <c r="A661" s="454" t="s">
        <v>191</v>
      </c>
      <c r="B661" s="454" t="s">
        <v>760</v>
      </c>
    </row>
    <row r="662" spans="1:3">
      <c r="A662" s="454" t="s">
        <v>191</v>
      </c>
      <c r="B662" s="454" t="s">
        <v>761</v>
      </c>
    </row>
    <row r="663" spans="1:3">
      <c r="A663" s="454" t="s">
        <v>191</v>
      </c>
      <c r="B663" s="454" t="s">
        <v>762</v>
      </c>
    </row>
    <row r="664" spans="1:3">
      <c r="A664" s="454" t="s">
        <v>191</v>
      </c>
      <c r="B664" s="454" t="s">
        <v>183</v>
      </c>
    </row>
    <row r="665" spans="1:3">
      <c r="A665" s="454" t="s">
        <v>191</v>
      </c>
      <c r="B665" s="454" t="s">
        <v>763</v>
      </c>
    </row>
    <row r="666" spans="1:3">
      <c r="A666" s="454" t="s">
        <v>191</v>
      </c>
      <c r="B666" s="454" t="s">
        <v>764</v>
      </c>
    </row>
    <row r="667" spans="1:3">
      <c r="A667" s="454" t="s">
        <v>191</v>
      </c>
      <c r="B667" s="454" t="s">
        <v>765</v>
      </c>
    </row>
    <row r="668" spans="1:3">
      <c r="A668" s="454" t="s">
        <v>191</v>
      </c>
      <c r="B668" s="454" t="s">
        <v>766</v>
      </c>
    </row>
    <row r="669" spans="1:3">
      <c r="A669" s="454" t="s">
        <v>191</v>
      </c>
      <c r="B669" s="454" t="s">
        <v>767</v>
      </c>
    </row>
    <row r="670" spans="1:3">
      <c r="A670" s="454" t="s">
        <v>191</v>
      </c>
      <c r="B670" s="454" t="s">
        <v>768</v>
      </c>
    </row>
    <row r="671" spans="1:3">
      <c r="A671" s="454" t="s">
        <v>191</v>
      </c>
      <c r="B671" s="454" t="s">
        <v>769</v>
      </c>
    </row>
    <row r="672" spans="1:3">
      <c r="A672" s="454" t="s">
        <v>191</v>
      </c>
      <c r="B672" s="454" t="s">
        <v>770</v>
      </c>
      <c r="C672" s="454" t="s">
        <v>771</v>
      </c>
    </row>
    <row r="673" spans="1:3">
      <c r="A673" s="454" t="s">
        <v>191</v>
      </c>
      <c r="B673" s="454" t="s">
        <v>445</v>
      </c>
      <c r="C673" s="454">
        <v>0</v>
      </c>
    </row>
    <row r="674" spans="1:3">
      <c r="A674" s="454" t="s">
        <v>191</v>
      </c>
      <c r="B674" s="454" t="s">
        <v>269</v>
      </c>
      <c r="C674" s="454" t="s">
        <v>772</v>
      </c>
    </row>
    <row r="675" spans="1:3">
      <c r="A675" s="454" t="s">
        <v>191</v>
      </c>
      <c r="B675" s="454" t="s">
        <v>273</v>
      </c>
      <c r="C675" s="454">
        <v>0</v>
      </c>
    </row>
    <row r="676" spans="1:3">
      <c r="A676" s="454" t="s">
        <v>191</v>
      </c>
      <c r="B676" s="454" t="s">
        <v>773</v>
      </c>
      <c r="C676" s="454">
        <v>0</v>
      </c>
    </row>
    <row r="677" spans="1:3">
      <c r="A677" s="454" t="s">
        <v>191</v>
      </c>
      <c r="B677" s="454" t="s">
        <v>774</v>
      </c>
      <c r="C677" s="454">
        <v>0</v>
      </c>
    </row>
    <row r="678" spans="1:3">
      <c r="A678" s="454" t="s">
        <v>191</v>
      </c>
      <c r="B678" s="454" t="s">
        <v>608</v>
      </c>
      <c r="C678" s="454">
        <v>0</v>
      </c>
    </row>
    <row r="679" spans="1:3">
      <c r="A679" s="454" t="s">
        <v>191</v>
      </c>
      <c r="B679" s="454" t="s">
        <v>610</v>
      </c>
      <c r="C679" s="454">
        <v>0</v>
      </c>
    </row>
    <row r="680" spans="1:3">
      <c r="A680" s="454" t="s">
        <v>191</v>
      </c>
      <c r="B680" s="454" t="s">
        <v>775</v>
      </c>
    </row>
    <row r="681" spans="1:3">
      <c r="A681" s="454" t="s">
        <v>191</v>
      </c>
      <c r="B681" s="454" t="s">
        <v>776</v>
      </c>
    </row>
    <row r="682" spans="1:3">
      <c r="A682" s="454" t="s">
        <v>191</v>
      </c>
      <c r="B682" s="454" t="s">
        <v>777</v>
      </c>
    </row>
    <row r="683" spans="1:3">
      <c r="A683" s="454" t="s">
        <v>191</v>
      </c>
      <c r="B683" s="454" t="s">
        <v>778</v>
      </c>
    </row>
    <row r="684" spans="1:3">
      <c r="A684" s="454" t="s">
        <v>191</v>
      </c>
      <c r="B684" s="454" t="s">
        <v>779</v>
      </c>
    </row>
    <row r="685" spans="1:3">
      <c r="A685" s="454" t="s">
        <v>191</v>
      </c>
      <c r="B685" s="454" t="s">
        <v>780</v>
      </c>
    </row>
    <row r="686" spans="1:3">
      <c r="A686" s="454" t="s">
        <v>191</v>
      </c>
      <c r="B686" s="454" t="s">
        <v>781</v>
      </c>
    </row>
    <row r="687" spans="1:3">
      <c r="A687" s="454" t="s">
        <v>191</v>
      </c>
      <c r="B687" s="454" t="s">
        <v>782</v>
      </c>
    </row>
    <row r="688" spans="1:3">
      <c r="A688" s="454" t="s">
        <v>191</v>
      </c>
      <c r="B688" s="454" t="s">
        <v>454</v>
      </c>
      <c r="C688" s="454">
        <v>0</v>
      </c>
    </row>
    <row r="689" spans="1:3">
      <c r="A689" s="454" t="s">
        <v>191</v>
      </c>
      <c r="B689" s="454" t="s">
        <v>458</v>
      </c>
      <c r="C689" s="454">
        <v>0</v>
      </c>
    </row>
    <row r="690" spans="1:3">
      <c r="A690" s="454" t="s">
        <v>191</v>
      </c>
      <c r="B690" s="454" t="s">
        <v>783</v>
      </c>
      <c r="C690" s="454" t="s">
        <v>784</v>
      </c>
    </row>
    <row r="691" spans="1:3">
      <c r="A691" s="454" t="s">
        <v>191</v>
      </c>
      <c r="B691" s="454" t="s">
        <v>462</v>
      </c>
      <c r="C691" s="454">
        <v>0</v>
      </c>
    </row>
    <row r="692" spans="1:3">
      <c r="A692" s="454" t="s">
        <v>191</v>
      </c>
      <c r="B692" s="454" t="s">
        <v>785</v>
      </c>
      <c r="C692" s="454" t="s">
        <v>786</v>
      </c>
    </row>
    <row r="693" spans="1:3">
      <c r="A693" s="454" t="s">
        <v>191</v>
      </c>
      <c r="B693" s="454" t="s">
        <v>466</v>
      </c>
      <c r="C693" s="454">
        <v>0</v>
      </c>
    </row>
    <row r="694" spans="1:3">
      <c r="A694" s="454" t="s">
        <v>191</v>
      </c>
      <c r="B694" s="454" t="s">
        <v>787</v>
      </c>
      <c r="C694" s="454" t="s">
        <v>788</v>
      </c>
    </row>
    <row r="695" spans="1:3">
      <c r="A695" s="454" t="s">
        <v>191</v>
      </c>
      <c r="B695" s="454" t="s">
        <v>470</v>
      </c>
      <c r="C695" s="454">
        <v>0</v>
      </c>
    </row>
    <row r="696" spans="1:3">
      <c r="A696" s="454" t="s">
        <v>191</v>
      </c>
      <c r="B696" s="454" t="s">
        <v>789</v>
      </c>
      <c r="C696" s="454" t="s">
        <v>790</v>
      </c>
    </row>
    <row r="697" spans="1:3">
      <c r="A697" s="454" t="s">
        <v>191</v>
      </c>
      <c r="B697" s="454" t="s">
        <v>474</v>
      </c>
      <c r="C697" s="454">
        <v>0</v>
      </c>
    </row>
    <row r="698" spans="1:3">
      <c r="A698" s="454" t="s">
        <v>191</v>
      </c>
      <c r="B698" s="454" t="s">
        <v>303</v>
      </c>
      <c r="C698" s="454" t="s">
        <v>791</v>
      </c>
    </row>
    <row r="699" spans="1:3">
      <c r="A699" s="454" t="s">
        <v>191</v>
      </c>
      <c r="B699" s="454" t="s">
        <v>307</v>
      </c>
      <c r="C699" s="454">
        <v>0</v>
      </c>
    </row>
    <row r="700" spans="1:3">
      <c r="A700" s="454" t="s">
        <v>191</v>
      </c>
      <c r="B700" s="454" t="s">
        <v>310</v>
      </c>
      <c r="C700" s="454" t="s">
        <v>792</v>
      </c>
    </row>
    <row r="701" spans="1:3">
      <c r="A701" s="454" t="s">
        <v>191</v>
      </c>
      <c r="B701" s="454" t="s">
        <v>314</v>
      </c>
      <c r="C701" s="454">
        <v>0</v>
      </c>
    </row>
    <row r="702" spans="1:3">
      <c r="A702" s="454" t="s">
        <v>191</v>
      </c>
      <c r="B702" s="454" t="s">
        <v>317</v>
      </c>
      <c r="C702" s="454" t="s">
        <v>793</v>
      </c>
    </row>
    <row r="703" spans="1:3">
      <c r="A703" s="454" t="s">
        <v>191</v>
      </c>
      <c r="B703" s="454" t="s">
        <v>321</v>
      </c>
      <c r="C703" s="454">
        <v>0</v>
      </c>
    </row>
    <row r="704" spans="1:3">
      <c r="A704" s="454" t="s">
        <v>191</v>
      </c>
      <c r="B704" s="454" t="s">
        <v>324</v>
      </c>
      <c r="C704" s="454" t="s">
        <v>794</v>
      </c>
    </row>
    <row r="705" spans="1:3">
      <c r="A705" s="454" t="s">
        <v>191</v>
      </c>
      <c r="B705" s="454" t="s">
        <v>328</v>
      </c>
      <c r="C705" s="454">
        <v>0</v>
      </c>
    </row>
    <row r="706" spans="1:3">
      <c r="A706" s="454" t="s">
        <v>191</v>
      </c>
      <c r="B706" s="454" t="s">
        <v>331</v>
      </c>
      <c r="C706" s="454" t="s">
        <v>795</v>
      </c>
    </row>
    <row r="707" spans="1:3">
      <c r="A707" s="454" t="s">
        <v>191</v>
      </c>
      <c r="B707" s="454" t="s">
        <v>335</v>
      </c>
      <c r="C707" s="454">
        <v>0</v>
      </c>
    </row>
    <row r="708" spans="1:3">
      <c r="A708" s="454" t="s">
        <v>191</v>
      </c>
      <c r="B708" s="454" t="s">
        <v>796</v>
      </c>
      <c r="C708" s="454" t="s">
        <v>797</v>
      </c>
    </row>
    <row r="709" spans="1:3">
      <c r="A709" s="454" t="s">
        <v>191</v>
      </c>
      <c r="B709" s="454" t="s">
        <v>483</v>
      </c>
      <c r="C709" s="454">
        <v>0</v>
      </c>
    </row>
    <row r="710" spans="1:3">
      <c r="A710" s="454" t="s">
        <v>191</v>
      </c>
      <c r="B710" s="454" t="s">
        <v>798</v>
      </c>
      <c r="C710" s="454" t="s">
        <v>799</v>
      </c>
    </row>
    <row r="711" spans="1:3">
      <c r="A711" s="454" t="s">
        <v>191</v>
      </c>
      <c r="B711" s="454" t="s">
        <v>487</v>
      </c>
      <c r="C711" s="454">
        <v>0</v>
      </c>
    </row>
    <row r="712" spans="1:3">
      <c r="A712" s="454" t="s">
        <v>191</v>
      </c>
      <c r="B712" s="454" t="s">
        <v>800</v>
      </c>
    </row>
    <row r="713" spans="1:3">
      <c r="A713" s="454" t="s">
        <v>191</v>
      </c>
      <c r="B713" s="454" t="s">
        <v>801</v>
      </c>
    </row>
    <row r="714" spans="1:3">
      <c r="A714" s="454" t="s">
        <v>191</v>
      </c>
      <c r="B714" s="454" t="s">
        <v>802</v>
      </c>
    </row>
    <row r="715" spans="1:3">
      <c r="A715" s="454" t="s">
        <v>191</v>
      </c>
      <c r="B715" s="454" t="s">
        <v>803</v>
      </c>
    </row>
    <row r="716" spans="1:3">
      <c r="A716" s="454" t="s">
        <v>191</v>
      </c>
      <c r="B716" s="454" t="s">
        <v>804</v>
      </c>
    </row>
    <row r="717" spans="1:3">
      <c r="A717" s="454" t="s">
        <v>191</v>
      </c>
      <c r="B717" s="454" t="s">
        <v>805</v>
      </c>
    </row>
    <row r="718" spans="1:3">
      <c r="A718" s="454" t="s">
        <v>191</v>
      </c>
      <c r="B718" s="454" t="s">
        <v>806</v>
      </c>
    </row>
    <row r="719" spans="1:3">
      <c r="A719" s="454" t="s">
        <v>191</v>
      </c>
      <c r="B719" s="454" t="s">
        <v>807</v>
      </c>
    </row>
    <row r="720" spans="1:3">
      <c r="A720" s="454" t="s">
        <v>191</v>
      </c>
      <c r="B720" s="454" t="s">
        <v>808</v>
      </c>
    </row>
    <row r="721" spans="1:2">
      <c r="A721" s="454" t="s">
        <v>191</v>
      </c>
      <c r="B721" s="454" t="s">
        <v>809</v>
      </c>
    </row>
    <row r="722" spans="1:2">
      <c r="A722" s="454" t="s">
        <v>191</v>
      </c>
      <c r="B722" s="454" t="s">
        <v>810</v>
      </c>
    </row>
    <row r="723" spans="1:2">
      <c r="A723" s="454" t="s">
        <v>191</v>
      </c>
      <c r="B723" s="454" t="s">
        <v>811</v>
      </c>
    </row>
    <row r="724" spans="1:2">
      <c r="A724" s="454" t="s">
        <v>191</v>
      </c>
      <c r="B724" s="454" t="s">
        <v>812</v>
      </c>
    </row>
    <row r="725" spans="1:2">
      <c r="A725" s="454" t="s">
        <v>191</v>
      </c>
      <c r="B725" s="454" t="s">
        <v>813</v>
      </c>
    </row>
    <row r="726" spans="1:2">
      <c r="A726" s="454" t="s">
        <v>191</v>
      </c>
      <c r="B726" s="454" t="s">
        <v>814</v>
      </c>
    </row>
    <row r="727" spans="1:2">
      <c r="A727" s="454" t="s">
        <v>191</v>
      </c>
      <c r="B727" s="454" t="s">
        <v>815</v>
      </c>
    </row>
    <row r="728" spans="1:2">
      <c r="A728" s="454" t="s">
        <v>191</v>
      </c>
      <c r="B728" s="454" t="s">
        <v>816</v>
      </c>
    </row>
    <row r="729" spans="1:2">
      <c r="A729" s="454" t="s">
        <v>191</v>
      </c>
      <c r="B729" s="454" t="s">
        <v>817</v>
      </c>
    </row>
    <row r="730" spans="1:2">
      <c r="A730" s="454" t="s">
        <v>191</v>
      </c>
      <c r="B730" s="454" t="s">
        <v>818</v>
      </c>
    </row>
    <row r="731" spans="1:2">
      <c r="A731" s="454" t="s">
        <v>191</v>
      </c>
      <c r="B731" s="454" t="s">
        <v>819</v>
      </c>
    </row>
    <row r="732" spans="1:2">
      <c r="A732" s="454" t="s">
        <v>191</v>
      </c>
      <c r="B732" s="454" t="s">
        <v>820</v>
      </c>
    </row>
    <row r="733" spans="1:2">
      <c r="A733" s="454" t="s">
        <v>191</v>
      </c>
      <c r="B733" s="454" t="s">
        <v>821</v>
      </c>
    </row>
    <row r="734" spans="1:2">
      <c r="A734" s="454" t="s">
        <v>191</v>
      </c>
      <c r="B734" s="454" t="s">
        <v>822</v>
      </c>
    </row>
    <row r="735" spans="1:2">
      <c r="A735" s="454" t="s">
        <v>191</v>
      </c>
      <c r="B735" s="454" t="s">
        <v>823</v>
      </c>
    </row>
    <row r="736" spans="1:2">
      <c r="A736" s="454" t="s">
        <v>191</v>
      </c>
      <c r="B736" s="454" t="s">
        <v>824</v>
      </c>
    </row>
    <row r="737" spans="1:3">
      <c r="A737" s="454" t="s">
        <v>191</v>
      </c>
      <c r="B737" s="454" t="s">
        <v>825</v>
      </c>
    </row>
    <row r="738" spans="1:3">
      <c r="A738" s="454" t="s">
        <v>191</v>
      </c>
      <c r="B738" s="454" t="s">
        <v>826</v>
      </c>
    </row>
    <row r="739" spans="1:3">
      <c r="A739" s="454" t="s">
        <v>191</v>
      </c>
      <c r="B739" s="454" t="s">
        <v>827</v>
      </c>
    </row>
    <row r="740" spans="1:3">
      <c r="A740" s="454" t="s">
        <v>191</v>
      </c>
      <c r="B740" s="454" t="s">
        <v>828</v>
      </c>
    </row>
    <row r="741" spans="1:3">
      <c r="A741" s="454" t="s">
        <v>191</v>
      </c>
      <c r="B741" s="454" t="s">
        <v>829</v>
      </c>
    </row>
    <row r="742" spans="1:3">
      <c r="A742" s="454" t="s">
        <v>191</v>
      </c>
      <c r="B742" s="454" t="s">
        <v>830</v>
      </c>
    </row>
    <row r="743" spans="1:3">
      <c r="A743" s="454" t="s">
        <v>191</v>
      </c>
      <c r="B743" s="454" t="s">
        <v>831</v>
      </c>
      <c r="C743" s="454">
        <v>2</v>
      </c>
    </row>
    <row r="744" spans="1:3">
      <c r="A744" s="454" t="s">
        <v>191</v>
      </c>
      <c r="B744" s="454" t="s">
        <v>832</v>
      </c>
    </row>
    <row r="745" spans="1:3">
      <c r="A745" s="454" t="s">
        <v>191</v>
      </c>
      <c r="B745" s="454" t="s">
        <v>833</v>
      </c>
    </row>
    <row r="746" spans="1:3">
      <c r="A746" s="454" t="s">
        <v>191</v>
      </c>
      <c r="B746" s="454" t="s">
        <v>834</v>
      </c>
    </row>
    <row r="747" spans="1:3">
      <c r="A747" s="454" t="s">
        <v>191</v>
      </c>
      <c r="B747" s="454" t="s">
        <v>835</v>
      </c>
    </row>
    <row r="748" spans="1:3">
      <c r="A748" s="454" t="s">
        <v>191</v>
      </c>
      <c r="B748" s="454" t="s">
        <v>836</v>
      </c>
    </row>
    <row r="749" spans="1:3">
      <c r="A749" s="454" t="s">
        <v>191</v>
      </c>
      <c r="B749" s="454" t="s">
        <v>837</v>
      </c>
    </row>
    <row r="750" spans="1:3">
      <c r="A750" s="454" t="s">
        <v>191</v>
      </c>
      <c r="B750" s="454" t="s">
        <v>838</v>
      </c>
    </row>
    <row r="751" spans="1:3">
      <c r="A751" s="454" t="s">
        <v>191</v>
      </c>
      <c r="B751" s="454" t="s">
        <v>839</v>
      </c>
    </row>
    <row r="752" spans="1:3">
      <c r="A752" s="454" t="s">
        <v>191</v>
      </c>
      <c r="B752" s="454" t="s">
        <v>840</v>
      </c>
    </row>
    <row r="753" spans="1:3">
      <c r="A753" s="454" t="s">
        <v>191</v>
      </c>
      <c r="B753" s="454" t="s">
        <v>841</v>
      </c>
    </row>
    <row r="754" spans="1:3">
      <c r="A754" s="454" t="s">
        <v>191</v>
      </c>
      <c r="B754" s="454" t="s">
        <v>842</v>
      </c>
    </row>
    <row r="755" spans="1:3">
      <c r="A755" s="454" t="s">
        <v>191</v>
      </c>
      <c r="B755" s="454" t="s">
        <v>843</v>
      </c>
    </row>
    <row r="756" spans="1:3">
      <c r="A756" s="454" t="s">
        <v>191</v>
      </c>
      <c r="B756" s="454" t="s">
        <v>844</v>
      </c>
    </row>
    <row r="757" spans="1:3">
      <c r="A757" s="454" t="s">
        <v>191</v>
      </c>
      <c r="B757" s="454" t="s">
        <v>845</v>
      </c>
    </row>
    <row r="758" spans="1:3">
      <c r="A758" s="454" t="s">
        <v>191</v>
      </c>
      <c r="B758" s="454" t="s">
        <v>846</v>
      </c>
    </row>
    <row r="759" spans="1:3">
      <c r="A759" s="454" t="s">
        <v>191</v>
      </c>
      <c r="B759" s="454" t="s">
        <v>847</v>
      </c>
    </row>
    <row r="760" spans="1:3">
      <c r="A760" s="454" t="s">
        <v>191</v>
      </c>
      <c r="B760" s="454" t="s">
        <v>848</v>
      </c>
    </row>
    <row r="761" spans="1:3">
      <c r="A761" s="454" t="s">
        <v>191</v>
      </c>
      <c r="B761" s="454" t="s">
        <v>849</v>
      </c>
    </row>
    <row r="762" spans="1:3">
      <c r="A762" s="454" t="s">
        <v>191</v>
      </c>
      <c r="B762" s="454" t="s">
        <v>850</v>
      </c>
    </row>
    <row r="763" spans="1:3">
      <c r="A763" s="454" t="s">
        <v>191</v>
      </c>
      <c r="B763" s="454" t="s">
        <v>851</v>
      </c>
    </row>
    <row r="764" spans="1:3">
      <c r="A764" s="454" t="s">
        <v>191</v>
      </c>
      <c r="B764" s="454" t="s">
        <v>852</v>
      </c>
    </row>
    <row r="765" spans="1:3">
      <c r="A765" s="454" t="s">
        <v>191</v>
      </c>
      <c r="B765" s="454" t="s">
        <v>853</v>
      </c>
    </row>
    <row r="766" spans="1:3">
      <c r="A766" s="454" t="s">
        <v>191</v>
      </c>
      <c r="B766" s="454" t="s">
        <v>854</v>
      </c>
    </row>
    <row r="767" spans="1:3">
      <c r="A767" s="454" t="s">
        <v>191</v>
      </c>
      <c r="B767" s="454" t="s">
        <v>855</v>
      </c>
    </row>
    <row r="768" spans="1:3">
      <c r="A768" s="454" t="s">
        <v>191</v>
      </c>
      <c r="B768" s="454" t="s">
        <v>209</v>
      </c>
      <c r="C768" s="454">
        <v>0</v>
      </c>
    </row>
    <row r="769" spans="1:3">
      <c r="A769" s="454" t="s">
        <v>191</v>
      </c>
      <c r="B769" s="454" t="s">
        <v>491</v>
      </c>
      <c r="C769" s="454">
        <v>0</v>
      </c>
    </row>
    <row r="770" spans="1:3">
      <c r="A770" s="454" t="s">
        <v>191</v>
      </c>
      <c r="B770" s="454" t="s">
        <v>856</v>
      </c>
      <c r="C770" s="454">
        <v>0</v>
      </c>
    </row>
    <row r="771" spans="1:3">
      <c r="A771" s="454" t="s">
        <v>191</v>
      </c>
      <c r="B771" s="454" t="s">
        <v>857</v>
      </c>
      <c r="C771" s="454">
        <v>0</v>
      </c>
    </row>
    <row r="772" spans="1:3">
      <c r="A772" s="454" t="s">
        <v>191</v>
      </c>
      <c r="B772" s="454" t="s">
        <v>858</v>
      </c>
      <c r="C772" s="454">
        <v>0</v>
      </c>
    </row>
    <row r="773" spans="1:3">
      <c r="A773" s="454" t="s">
        <v>191</v>
      </c>
      <c r="B773" s="454" t="s">
        <v>859</v>
      </c>
      <c r="C773" s="454">
        <v>0</v>
      </c>
    </row>
    <row r="774" spans="1:3">
      <c r="A774" s="454" t="s">
        <v>191</v>
      </c>
      <c r="B774" s="454" t="s">
        <v>860</v>
      </c>
      <c r="C774" s="454">
        <v>0</v>
      </c>
    </row>
    <row r="775" spans="1:3">
      <c r="A775" s="454" t="s">
        <v>191</v>
      </c>
      <c r="B775" s="454" t="s">
        <v>861</v>
      </c>
      <c r="C775" s="454">
        <v>0</v>
      </c>
    </row>
    <row r="776" spans="1:3">
      <c r="A776" s="454" t="s">
        <v>191</v>
      </c>
      <c r="B776" s="454" t="s">
        <v>862</v>
      </c>
      <c r="C776" s="454">
        <v>0</v>
      </c>
    </row>
    <row r="777" spans="1:3">
      <c r="A777" s="454" t="s">
        <v>191</v>
      </c>
      <c r="B777" s="454" t="s">
        <v>863</v>
      </c>
      <c r="C777" s="454">
        <v>0</v>
      </c>
    </row>
    <row r="778" spans="1:3">
      <c r="A778" s="454" t="s">
        <v>191</v>
      </c>
      <c r="B778" s="454" t="s">
        <v>864</v>
      </c>
      <c r="C778" s="454">
        <v>0</v>
      </c>
    </row>
    <row r="779" spans="1:3">
      <c r="A779" s="454" t="s">
        <v>191</v>
      </c>
      <c r="B779" s="454" t="s">
        <v>865</v>
      </c>
      <c r="C779" s="454">
        <v>0</v>
      </c>
    </row>
    <row r="780" spans="1:3">
      <c r="A780" s="454" t="s">
        <v>191</v>
      </c>
      <c r="B780" s="454" t="s">
        <v>866</v>
      </c>
      <c r="C780" s="454">
        <v>0</v>
      </c>
    </row>
    <row r="781" spans="1:3">
      <c r="A781" s="454" t="s">
        <v>191</v>
      </c>
      <c r="B781" s="454" t="s">
        <v>867</v>
      </c>
      <c r="C781" s="454">
        <v>0</v>
      </c>
    </row>
    <row r="782" spans="1:3">
      <c r="A782" s="454" t="s">
        <v>191</v>
      </c>
      <c r="B782" s="454" t="s">
        <v>868</v>
      </c>
      <c r="C782" s="454">
        <v>0</v>
      </c>
    </row>
    <row r="783" spans="1:3">
      <c r="A783" s="454" t="s">
        <v>191</v>
      </c>
      <c r="B783" s="454" t="s">
        <v>214</v>
      </c>
      <c r="C783" s="454">
        <v>0</v>
      </c>
    </row>
    <row r="784" spans="1:3">
      <c r="A784" s="454" t="s">
        <v>191</v>
      </c>
      <c r="B784" s="454" t="s">
        <v>869</v>
      </c>
      <c r="C784" s="454">
        <v>0</v>
      </c>
    </row>
    <row r="785" spans="1:3">
      <c r="A785" s="454" t="s">
        <v>191</v>
      </c>
      <c r="B785" s="454" t="s">
        <v>620</v>
      </c>
      <c r="C785" s="454">
        <v>0</v>
      </c>
    </row>
    <row r="786" spans="1:3">
      <c r="A786" s="454" t="s">
        <v>191</v>
      </c>
      <c r="B786" s="454" t="s">
        <v>622</v>
      </c>
      <c r="C786" s="454">
        <v>0</v>
      </c>
    </row>
    <row r="787" spans="1:3">
      <c r="A787" s="454" t="s">
        <v>191</v>
      </c>
      <c r="B787" s="454" t="s">
        <v>624</v>
      </c>
      <c r="C787" s="454">
        <v>0</v>
      </c>
    </row>
    <row r="788" spans="1:3">
      <c r="A788" s="454" t="s">
        <v>191</v>
      </c>
      <c r="B788" s="454" t="s">
        <v>626</v>
      </c>
      <c r="C788" s="454">
        <v>0</v>
      </c>
    </row>
    <row r="789" spans="1:3">
      <c r="A789" s="454" t="s">
        <v>191</v>
      </c>
      <c r="B789" s="454" t="s">
        <v>628</v>
      </c>
      <c r="C789" s="454">
        <v>0</v>
      </c>
    </row>
    <row r="790" spans="1:3">
      <c r="A790" s="454" t="s">
        <v>191</v>
      </c>
      <c r="B790" s="454" t="s">
        <v>630</v>
      </c>
      <c r="C790" s="454">
        <v>0</v>
      </c>
    </row>
    <row r="791" spans="1:3">
      <c r="A791" s="454" t="s">
        <v>191</v>
      </c>
      <c r="B791" s="454" t="s">
        <v>632</v>
      </c>
      <c r="C791" s="454">
        <v>0</v>
      </c>
    </row>
    <row r="792" spans="1:3">
      <c r="A792" s="454" t="s">
        <v>191</v>
      </c>
      <c r="B792" s="454" t="s">
        <v>634</v>
      </c>
      <c r="C792" s="454">
        <v>0</v>
      </c>
    </row>
    <row r="793" spans="1:3">
      <c r="A793" s="454" t="s">
        <v>191</v>
      </c>
      <c r="B793" s="454" t="s">
        <v>636</v>
      </c>
      <c r="C793" s="454">
        <v>0</v>
      </c>
    </row>
    <row r="794" spans="1:3">
      <c r="A794" s="454" t="s">
        <v>191</v>
      </c>
      <c r="B794" s="454" t="s">
        <v>638</v>
      </c>
      <c r="C794" s="454">
        <v>0</v>
      </c>
    </row>
    <row r="795" spans="1:3">
      <c r="A795" s="454" t="s">
        <v>191</v>
      </c>
      <c r="B795" s="454" t="s">
        <v>640</v>
      </c>
      <c r="C795" s="454">
        <v>0</v>
      </c>
    </row>
    <row r="796" spans="1:3">
      <c r="A796" s="454" t="s">
        <v>191</v>
      </c>
      <c r="B796" s="454" t="s">
        <v>642</v>
      </c>
      <c r="C796" s="454">
        <v>0</v>
      </c>
    </row>
    <row r="797" spans="1:3">
      <c r="A797" s="454" t="s">
        <v>191</v>
      </c>
      <c r="B797" s="454" t="s">
        <v>644</v>
      </c>
      <c r="C797" s="454">
        <v>0</v>
      </c>
    </row>
    <row r="798" spans="1:3">
      <c r="A798" s="454" t="s">
        <v>191</v>
      </c>
      <c r="B798" s="454" t="s">
        <v>219</v>
      </c>
      <c r="C798" s="454">
        <v>0</v>
      </c>
    </row>
    <row r="799" spans="1:3">
      <c r="A799" s="454" t="s">
        <v>191</v>
      </c>
      <c r="B799" s="454" t="s">
        <v>646</v>
      </c>
      <c r="C799" s="454">
        <v>0</v>
      </c>
    </row>
    <row r="800" spans="1:3">
      <c r="A800" s="454" t="s">
        <v>191</v>
      </c>
      <c r="B800" s="454" t="s">
        <v>870</v>
      </c>
    </row>
    <row r="801" spans="1:2">
      <c r="A801" s="454" t="s">
        <v>191</v>
      </c>
      <c r="B801" s="454" t="s">
        <v>871</v>
      </c>
    </row>
    <row r="802" spans="1:2">
      <c r="A802" s="454" t="s">
        <v>191</v>
      </c>
      <c r="B802" s="454" t="s">
        <v>872</v>
      </c>
    </row>
    <row r="803" spans="1:2">
      <c r="A803" s="454" t="s">
        <v>191</v>
      </c>
      <c r="B803" s="454" t="s">
        <v>873</v>
      </c>
    </row>
    <row r="804" spans="1:2">
      <c r="A804" s="454" t="s">
        <v>874</v>
      </c>
      <c r="B804" s="454" t="s">
        <v>875</v>
      </c>
    </row>
    <row r="805" spans="1:2">
      <c r="A805" s="454" t="s">
        <v>874</v>
      </c>
      <c r="B805" s="454" t="s">
        <v>876</v>
      </c>
    </row>
    <row r="806" spans="1:2">
      <c r="A806" s="454" t="s">
        <v>874</v>
      </c>
      <c r="B806" s="454" t="s">
        <v>877</v>
      </c>
    </row>
    <row r="807" spans="1:2">
      <c r="A807" s="454" t="s">
        <v>874</v>
      </c>
      <c r="B807" s="454" t="s">
        <v>878</v>
      </c>
    </row>
    <row r="808" spans="1:2">
      <c r="A808" s="454" t="s">
        <v>874</v>
      </c>
      <c r="B808" s="454" t="s">
        <v>237</v>
      </c>
    </row>
    <row r="809" spans="1:2">
      <c r="A809" s="454" t="s">
        <v>874</v>
      </c>
      <c r="B809" s="454" t="s">
        <v>243</v>
      </c>
    </row>
    <row r="810" spans="1:2">
      <c r="A810" s="454" t="s">
        <v>874</v>
      </c>
      <c r="B810" s="454" t="s">
        <v>248</v>
      </c>
    </row>
    <row r="811" spans="1:2">
      <c r="A811" s="454" t="s">
        <v>874</v>
      </c>
      <c r="B811" s="454" t="s">
        <v>255</v>
      </c>
    </row>
    <row r="812" spans="1:2">
      <c r="A812" s="454" t="s">
        <v>874</v>
      </c>
      <c r="B812" s="454" t="s">
        <v>261</v>
      </c>
    </row>
    <row r="813" spans="1:2">
      <c r="A813" s="454" t="s">
        <v>874</v>
      </c>
      <c r="B813" s="454" t="s">
        <v>879</v>
      </c>
    </row>
    <row r="814" spans="1:2">
      <c r="A814" s="454" t="s">
        <v>874</v>
      </c>
      <c r="B814" s="454" t="s">
        <v>880</v>
      </c>
    </row>
    <row r="815" spans="1:2">
      <c r="A815" s="454" t="s">
        <v>874</v>
      </c>
      <c r="B815" s="454" t="s">
        <v>881</v>
      </c>
    </row>
    <row r="816" spans="1:2">
      <c r="A816" s="454" t="s">
        <v>874</v>
      </c>
      <c r="B816" s="454" t="s">
        <v>882</v>
      </c>
    </row>
    <row r="817" spans="1:3">
      <c r="A817" s="454" t="s">
        <v>874</v>
      </c>
      <c r="B817" s="454" t="s">
        <v>883</v>
      </c>
    </row>
    <row r="818" spans="1:3">
      <c r="A818" s="454" t="s">
        <v>874</v>
      </c>
      <c r="B818" s="454" t="s">
        <v>884</v>
      </c>
      <c r="C818" s="456"/>
    </row>
    <row r="819" spans="1:3">
      <c r="A819" s="454" t="s">
        <v>874</v>
      </c>
      <c r="B819" s="454" t="s">
        <v>268</v>
      </c>
    </row>
    <row r="820" spans="1:3">
      <c r="A820" s="454" t="s">
        <v>874</v>
      </c>
      <c r="B820" s="454" t="s">
        <v>275</v>
      </c>
    </row>
    <row r="821" spans="1:3">
      <c r="A821" s="454" t="s">
        <v>874</v>
      </c>
      <c r="B821" s="454" t="s">
        <v>282</v>
      </c>
    </row>
    <row r="822" spans="1:3">
      <c r="A822" s="454" t="s">
        <v>874</v>
      </c>
      <c r="B822" s="454" t="s">
        <v>289</v>
      </c>
    </row>
    <row r="823" spans="1:3">
      <c r="A823" s="454" t="s">
        <v>874</v>
      </c>
      <c r="B823" s="454" t="s">
        <v>296</v>
      </c>
    </row>
    <row r="824" spans="1:3">
      <c r="A824" s="454" t="s">
        <v>874</v>
      </c>
      <c r="B824" s="454" t="s">
        <v>885</v>
      </c>
    </row>
    <row r="825" spans="1:3">
      <c r="A825" s="454" t="s">
        <v>874</v>
      </c>
      <c r="B825" s="454" t="s">
        <v>886</v>
      </c>
    </row>
    <row r="826" spans="1:3">
      <c r="A826" s="454" t="s">
        <v>874</v>
      </c>
      <c r="B826" s="454" t="s">
        <v>887</v>
      </c>
    </row>
    <row r="827" spans="1:3">
      <c r="A827" s="454" t="s">
        <v>874</v>
      </c>
      <c r="B827" s="454" t="s">
        <v>888</v>
      </c>
    </row>
    <row r="828" spans="1:3">
      <c r="A828" s="454" t="s">
        <v>874</v>
      </c>
      <c r="B828" s="454" t="s">
        <v>889</v>
      </c>
    </row>
    <row r="829" spans="1:3">
      <c r="A829" s="454" t="s">
        <v>874</v>
      </c>
      <c r="B829" s="454" t="s">
        <v>890</v>
      </c>
    </row>
    <row r="830" spans="1:3">
      <c r="A830" s="454" t="s">
        <v>874</v>
      </c>
      <c r="B830" s="454" t="s">
        <v>302</v>
      </c>
    </row>
    <row r="831" spans="1:3">
      <c r="A831" s="454" t="s">
        <v>217</v>
      </c>
      <c r="B831" s="454" t="s">
        <v>891</v>
      </c>
    </row>
    <row r="832" spans="1:3">
      <c r="A832" s="454" t="s">
        <v>217</v>
      </c>
      <c r="B832" s="454" t="s">
        <v>408</v>
      </c>
    </row>
    <row r="833" spans="1:3">
      <c r="A833" s="454" t="s">
        <v>217</v>
      </c>
      <c r="B833" s="454" t="s">
        <v>409</v>
      </c>
    </row>
    <row r="834" spans="1:3">
      <c r="A834" s="454" t="s">
        <v>217</v>
      </c>
      <c r="B834" s="454" t="s">
        <v>892</v>
      </c>
    </row>
    <row r="835" spans="1:3">
      <c r="A835" s="454" t="s">
        <v>217</v>
      </c>
      <c r="B835" s="454" t="s">
        <v>410</v>
      </c>
    </row>
    <row r="836" spans="1:3">
      <c r="A836" s="454" t="s">
        <v>217</v>
      </c>
      <c r="B836" s="454" t="s">
        <v>893</v>
      </c>
    </row>
    <row r="837" spans="1:3">
      <c r="A837" s="454" t="s">
        <v>217</v>
      </c>
      <c r="B837" s="454" t="s">
        <v>411</v>
      </c>
    </row>
    <row r="838" spans="1:3">
      <c r="A838" s="454" t="s">
        <v>217</v>
      </c>
      <c r="B838" s="454" t="s">
        <v>441</v>
      </c>
    </row>
    <row r="839" spans="1:3">
      <c r="A839" s="454" t="s">
        <v>217</v>
      </c>
      <c r="B839" s="454" t="s">
        <v>287</v>
      </c>
    </row>
    <row r="840" spans="1:3">
      <c r="A840" s="454" t="s">
        <v>217</v>
      </c>
      <c r="B840" s="454" t="s">
        <v>294</v>
      </c>
    </row>
    <row r="841" spans="1:3">
      <c r="A841" s="454" t="s">
        <v>217</v>
      </c>
      <c r="B841" s="454" t="s">
        <v>300</v>
      </c>
    </row>
    <row r="842" spans="1:3">
      <c r="A842" s="454" t="s">
        <v>217</v>
      </c>
      <c r="B842" s="454" t="s">
        <v>281</v>
      </c>
    </row>
    <row r="843" spans="1:3">
      <c r="A843" s="454" t="s">
        <v>217</v>
      </c>
      <c r="B843" s="454" t="s">
        <v>288</v>
      </c>
    </row>
    <row r="844" spans="1:3">
      <c r="A844" s="454" t="s">
        <v>217</v>
      </c>
      <c r="B844" s="454" t="s">
        <v>295</v>
      </c>
    </row>
    <row r="845" spans="1:3">
      <c r="A845" s="454" t="s">
        <v>217</v>
      </c>
      <c r="B845" s="454" t="s">
        <v>414</v>
      </c>
    </row>
    <row r="846" spans="1:3">
      <c r="A846" s="454" t="s">
        <v>217</v>
      </c>
      <c r="B846" s="454" t="s">
        <v>894</v>
      </c>
      <c r="C846" s="454" t="s">
        <v>895</v>
      </c>
    </row>
  </sheetData>
  <printOptions horizontalCentered="1" verticalCentered="1"/>
  <pageMargins left="0.5" right="0.5" top="1.75" bottom="0.5" header="0" footer="0"/>
  <pageSetup scale="87" fitToHeight="0" orientation="landscape" cellComments="atEnd" verticalDpi="0" r:id="rId1"/>
  <customProperties>
    <customPr name="GU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pageSetUpPr fitToPage="1"/>
  </sheetPr>
  <dimension ref="A1:H1104"/>
  <sheetViews>
    <sheetView workbookViewId="0">
      <pane ySplit="1" topLeftCell="A2" activePane="bottomLeft" state="frozen"/>
      <selection pane="bottomLeft" activeCell="U28" sqref="U28"/>
    </sheetView>
  </sheetViews>
  <sheetFormatPr defaultColWidth="9.140625" defaultRowHeight="15"/>
  <cols>
    <col min="1" max="1" width="23.42578125" style="454" customWidth="1"/>
    <col min="2" max="2" width="7.5703125" style="454" customWidth="1"/>
    <col min="3" max="3" width="14.42578125" style="455" customWidth="1"/>
    <col min="4" max="4" width="13.42578125" style="454" customWidth="1"/>
    <col min="5" max="5" width="24.5703125" style="454" customWidth="1"/>
    <col min="6" max="6" width="6" style="454" customWidth="1"/>
    <col min="7" max="7" width="11.5703125" style="455" customWidth="1"/>
    <col min="8" max="8" width="24.85546875" style="454" customWidth="1"/>
    <col min="9" max="16384" width="9.140625" style="454"/>
  </cols>
  <sheetData>
    <row r="1" spans="1:8">
      <c r="A1" s="453" t="s">
        <v>146</v>
      </c>
      <c r="B1" s="453" t="s">
        <v>147</v>
      </c>
      <c r="C1" s="457" t="s">
        <v>148</v>
      </c>
      <c r="E1" s="453" t="s">
        <v>146</v>
      </c>
      <c r="F1" s="453" t="s">
        <v>147</v>
      </c>
      <c r="G1" s="457" t="s">
        <v>148</v>
      </c>
      <c r="H1" s="453" t="s">
        <v>149</v>
      </c>
    </row>
    <row r="2" spans="1:8">
      <c r="A2" s="454" t="s">
        <v>150</v>
      </c>
      <c r="B2" s="454" t="s">
        <v>151</v>
      </c>
      <c r="C2" s="455" t="s">
        <v>896</v>
      </c>
      <c r="E2" s="454" t="s">
        <v>150</v>
      </c>
      <c r="F2" s="454" t="s">
        <v>152</v>
      </c>
      <c r="G2" s="455" t="s">
        <v>153</v>
      </c>
      <c r="H2" s="454" t="str">
        <f t="shared" ref="H2:H14" si="0">E2&amp;"!"&amp;F2</f>
        <v>Input!B10</v>
      </c>
    </row>
    <row r="3" spans="1:8">
      <c r="A3" s="454" t="s">
        <v>150</v>
      </c>
      <c r="B3" s="454" t="s">
        <v>154</v>
      </c>
      <c r="C3" s="455">
        <v>18000000</v>
      </c>
      <c r="E3" s="454" t="s">
        <v>150</v>
      </c>
      <c r="F3" s="454" t="s">
        <v>155</v>
      </c>
      <c r="G3" s="455" t="s">
        <v>897</v>
      </c>
      <c r="H3" s="454" t="str">
        <f t="shared" si="0"/>
        <v>Input!B16</v>
      </c>
    </row>
    <row r="4" spans="1:8">
      <c r="A4" s="454" t="s">
        <v>150</v>
      </c>
      <c r="B4" s="454" t="s">
        <v>157</v>
      </c>
      <c r="C4" s="455">
        <v>42522</v>
      </c>
      <c r="E4" s="454" t="s">
        <v>150</v>
      </c>
      <c r="F4" s="454" t="s">
        <v>158</v>
      </c>
      <c r="G4" s="455" t="s">
        <v>126</v>
      </c>
      <c r="H4" s="454" t="str">
        <f t="shared" si="0"/>
        <v>Input!B17</v>
      </c>
    </row>
    <row r="5" spans="1:8">
      <c r="A5" s="454" t="s">
        <v>150</v>
      </c>
      <c r="B5" s="454" t="s">
        <v>159</v>
      </c>
      <c r="C5" s="455" t="s">
        <v>898</v>
      </c>
      <c r="E5" s="454" t="s">
        <v>150</v>
      </c>
      <c r="F5" s="454" t="s">
        <v>160</v>
      </c>
      <c r="G5" s="455">
        <v>60</v>
      </c>
      <c r="H5" s="454" t="str">
        <f t="shared" si="0"/>
        <v>Input!B18</v>
      </c>
    </row>
    <row r="6" spans="1:8">
      <c r="A6" s="454" t="s">
        <v>150</v>
      </c>
      <c r="B6" s="454" t="s">
        <v>161</v>
      </c>
      <c r="C6" s="455">
        <v>0.86000918273645499</v>
      </c>
      <c r="E6" s="454" t="s">
        <v>150</v>
      </c>
      <c r="F6" s="454" t="s">
        <v>184</v>
      </c>
      <c r="G6" s="455" t="s">
        <v>87</v>
      </c>
      <c r="H6" s="454" t="str">
        <f t="shared" si="0"/>
        <v>Input!B28</v>
      </c>
    </row>
    <row r="7" spans="1:8">
      <c r="A7" s="454" t="s">
        <v>150</v>
      </c>
      <c r="B7" s="454" t="s">
        <v>163</v>
      </c>
      <c r="C7" s="455">
        <v>42522</v>
      </c>
      <c r="E7" s="454" t="s">
        <v>150</v>
      </c>
      <c r="F7" s="454" t="s">
        <v>162</v>
      </c>
      <c r="G7" s="455" t="s">
        <v>126</v>
      </c>
      <c r="H7" s="454" t="str">
        <f t="shared" si="0"/>
        <v>Input!B30</v>
      </c>
    </row>
    <row r="8" spans="1:8">
      <c r="A8" s="454" t="s">
        <v>150</v>
      </c>
      <c r="B8" s="454" t="s">
        <v>165</v>
      </c>
      <c r="C8" s="455">
        <v>57</v>
      </c>
      <c r="E8" s="454" t="s">
        <v>150</v>
      </c>
      <c r="F8" s="454" t="s">
        <v>164</v>
      </c>
      <c r="G8" s="455" t="s">
        <v>126</v>
      </c>
      <c r="H8" s="454" t="str">
        <f t="shared" si="0"/>
        <v>Input!B36</v>
      </c>
    </row>
    <row r="9" spans="1:8">
      <c r="A9" s="454" t="s">
        <v>150</v>
      </c>
      <c r="B9" s="454" t="s">
        <v>168</v>
      </c>
      <c r="C9" s="455">
        <v>0.05</v>
      </c>
      <c r="E9" s="454" t="s">
        <v>150</v>
      </c>
      <c r="F9" s="454" t="s">
        <v>166</v>
      </c>
      <c r="G9" s="455" t="s">
        <v>899</v>
      </c>
      <c r="H9" s="454" t="str">
        <f t="shared" si="0"/>
        <v>Input!B39</v>
      </c>
    </row>
    <row r="10" spans="1:8">
      <c r="A10" s="454" t="s">
        <v>150</v>
      </c>
      <c r="B10" s="454" t="s">
        <v>170</v>
      </c>
      <c r="E10" s="454" t="s">
        <v>150</v>
      </c>
      <c r="F10" s="454" t="s">
        <v>169</v>
      </c>
      <c r="G10" s="455" t="s">
        <v>126</v>
      </c>
      <c r="H10" s="454" t="str">
        <f t="shared" si="0"/>
        <v>Input!B40</v>
      </c>
    </row>
    <row r="11" spans="1:8">
      <c r="A11" s="454" t="s">
        <v>150</v>
      </c>
      <c r="B11" s="454" t="s">
        <v>172</v>
      </c>
      <c r="E11" s="454" t="s">
        <v>150</v>
      </c>
      <c r="F11" s="454" t="s">
        <v>171</v>
      </c>
      <c r="G11" s="455" t="s">
        <v>126</v>
      </c>
      <c r="H11" s="454" t="str">
        <f t="shared" si="0"/>
        <v>Input!B41</v>
      </c>
    </row>
    <row r="12" spans="1:8">
      <c r="A12" s="454" t="s">
        <v>150</v>
      </c>
      <c r="B12" s="454" t="s">
        <v>174</v>
      </c>
      <c r="E12" s="454" t="s">
        <v>150</v>
      </c>
      <c r="F12" s="454" t="s">
        <v>173</v>
      </c>
      <c r="G12" s="455" t="s">
        <v>140</v>
      </c>
      <c r="H12" s="454" t="str">
        <f t="shared" si="0"/>
        <v>Input!B43</v>
      </c>
    </row>
    <row r="13" spans="1:8">
      <c r="A13" s="454" t="s">
        <v>150</v>
      </c>
      <c r="B13" s="454" t="s">
        <v>176</v>
      </c>
      <c r="E13" s="454" t="s">
        <v>150</v>
      </c>
      <c r="F13" s="454" t="s">
        <v>175</v>
      </c>
      <c r="G13" s="454" t="s">
        <v>39</v>
      </c>
      <c r="H13" s="454" t="str">
        <f t="shared" si="0"/>
        <v>Input!B56</v>
      </c>
    </row>
    <row r="14" spans="1:8">
      <c r="A14" s="454" t="s">
        <v>150</v>
      </c>
      <c r="B14" s="454" t="s">
        <v>178</v>
      </c>
      <c r="E14" s="454" t="s">
        <v>150</v>
      </c>
      <c r="F14" s="454" t="s">
        <v>177</v>
      </c>
      <c r="G14" s="454" t="s">
        <v>39</v>
      </c>
      <c r="H14" s="454" t="str">
        <f t="shared" si="0"/>
        <v>Input!D41</v>
      </c>
    </row>
    <row r="15" spans="1:8">
      <c r="A15" s="454" t="s">
        <v>150</v>
      </c>
      <c r="B15" s="454" t="s">
        <v>181</v>
      </c>
      <c r="C15" s="455">
        <v>1984</v>
      </c>
      <c r="E15" s="454" t="s">
        <v>179</v>
      </c>
      <c r="F15" s="454" t="s">
        <v>180</v>
      </c>
      <c r="G15" s="455" t="s">
        <v>127</v>
      </c>
      <c r="H15" s="454" t="str">
        <f>E15&amp;"!"&amp;F15</f>
        <v>Rent Roll Detail Input!I8</v>
      </c>
    </row>
    <row r="16" spans="1:8">
      <c r="A16" s="454" t="s">
        <v>150</v>
      </c>
      <c r="B16" s="454" t="s">
        <v>187</v>
      </c>
      <c r="C16" s="455">
        <v>6.5000000000000002E-2</v>
      </c>
      <c r="E16" s="454" t="s">
        <v>182</v>
      </c>
      <c r="F16" s="454" t="s">
        <v>183</v>
      </c>
      <c r="G16" s="455" t="s">
        <v>127</v>
      </c>
      <c r="H16" s="454" t="str">
        <f>E16&amp;"!"&amp;F16</f>
        <v>Rent Roll Summary Input!R12</v>
      </c>
    </row>
    <row r="17" spans="1:8">
      <c r="A17" s="454" t="s">
        <v>150</v>
      </c>
      <c r="B17" s="454" t="s">
        <v>190</v>
      </c>
      <c r="C17" s="455">
        <v>0.02</v>
      </c>
      <c r="E17" s="454" t="s">
        <v>185</v>
      </c>
      <c r="F17" s="454" t="s">
        <v>186</v>
      </c>
      <c r="G17" s="455" t="s">
        <v>39</v>
      </c>
      <c r="H17" s="454" t="str">
        <f t="shared" ref="H17:H27" si="1">E17&amp;"!"&amp;F17</f>
        <v>Rent Roll Summary!C4</v>
      </c>
    </row>
    <row r="18" spans="1:8">
      <c r="A18" s="454" t="s">
        <v>150</v>
      </c>
      <c r="B18" s="454" t="s">
        <v>193</v>
      </c>
      <c r="C18" s="455">
        <v>200000</v>
      </c>
      <c r="E18" s="454" t="s">
        <v>185</v>
      </c>
      <c r="F18" s="454" t="s">
        <v>188</v>
      </c>
      <c r="G18" s="455" t="s">
        <v>189</v>
      </c>
      <c r="H18" s="454" t="str">
        <f t="shared" si="1"/>
        <v>Rent Roll Summary!C5</v>
      </c>
    </row>
    <row r="19" spans="1:8">
      <c r="A19" s="454" t="s">
        <v>150</v>
      </c>
      <c r="B19" s="454" t="s">
        <v>196</v>
      </c>
      <c r="C19" s="455">
        <v>10000</v>
      </c>
      <c r="E19" s="454" t="s">
        <v>191</v>
      </c>
      <c r="F19" s="454" t="s">
        <v>192</v>
      </c>
      <c r="G19" s="455">
        <v>0</v>
      </c>
      <c r="H19" s="454" t="str">
        <f t="shared" si="1"/>
        <v>Operating Statement!AA2</v>
      </c>
    </row>
    <row r="20" spans="1:8">
      <c r="A20" s="454" t="s">
        <v>150</v>
      </c>
      <c r="B20" s="454" t="s">
        <v>200</v>
      </c>
      <c r="C20" s="455">
        <v>10000</v>
      </c>
      <c r="E20" s="454" t="s">
        <v>191</v>
      </c>
      <c r="F20" s="454" t="s">
        <v>194</v>
      </c>
      <c r="G20" s="455" t="s">
        <v>195</v>
      </c>
      <c r="H20" s="454" t="str">
        <f t="shared" si="1"/>
        <v>Operating Statement!AA3</v>
      </c>
    </row>
    <row r="21" spans="1:8">
      <c r="A21" s="454" t="s">
        <v>150</v>
      </c>
      <c r="B21" s="454" t="s">
        <v>203</v>
      </c>
      <c r="C21" s="455">
        <v>10000</v>
      </c>
      <c r="E21" s="454" t="s">
        <v>197</v>
      </c>
      <c r="F21" s="454" t="s">
        <v>198</v>
      </c>
      <c r="G21" s="455" t="s">
        <v>199</v>
      </c>
      <c r="H21" s="454" t="str">
        <f t="shared" si="1"/>
        <v>Pricing Detail!V3</v>
      </c>
    </row>
    <row r="22" spans="1:8">
      <c r="A22" s="454" t="s">
        <v>150</v>
      </c>
      <c r="B22" s="454" t="s">
        <v>206</v>
      </c>
      <c r="E22" s="454" t="s">
        <v>201</v>
      </c>
      <c r="F22" s="454" t="s">
        <v>202</v>
      </c>
      <c r="G22" s="454">
        <v>5</v>
      </c>
      <c r="H22" s="454" t="str">
        <f t="shared" si="1"/>
        <v>Proposal Price IRR!Q3</v>
      </c>
    </row>
    <row r="23" spans="1:8">
      <c r="A23" s="454" t="s">
        <v>150</v>
      </c>
      <c r="B23" s="454" t="s">
        <v>209</v>
      </c>
      <c r="E23" s="454" t="s">
        <v>201</v>
      </c>
      <c r="F23" s="454" t="s">
        <v>204</v>
      </c>
      <c r="G23" s="454" t="s">
        <v>205</v>
      </c>
      <c r="H23" s="454" t="str">
        <f t="shared" si="1"/>
        <v>Proposal Price IRR!Q4</v>
      </c>
    </row>
    <row r="24" spans="1:8">
      <c r="A24" s="454" t="s">
        <v>150</v>
      </c>
      <c r="B24" s="454" t="s">
        <v>211</v>
      </c>
      <c r="E24" s="454" t="s">
        <v>207</v>
      </c>
      <c r="F24" s="454" t="s">
        <v>208</v>
      </c>
      <c r="G24" s="454">
        <v>5</v>
      </c>
      <c r="H24" s="454" t="str">
        <f t="shared" si="1"/>
        <v>Proposal Price!O3</v>
      </c>
    </row>
    <row r="25" spans="1:8">
      <c r="A25" s="454" t="s">
        <v>150</v>
      </c>
      <c r="B25" s="454" t="s">
        <v>214</v>
      </c>
      <c r="E25" s="454" t="s">
        <v>207</v>
      </c>
      <c r="F25" s="454" t="s">
        <v>210</v>
      </c>
      <c r="G25" s="454" t="s">
        <v>205</v>
      </c>
      <c r="H25" s="454" t="str">
        <f t="shared" si="1"/>
        <v>Proposal Price!O4</v>
      </c>
    </row>
    <row r="26" spans="1:8">
      <c r="A26" s="454" t="s">
        <v>150</v>
      </c>
      <c r="B26" s="454" t="s">
        <v>216</v>
      </c>
      <c r="E26" s="454" t="s">
        <v>212</v>
      </c>
      <c r="F26" s="454" t="s">
        <v>213</v>
      </c>
      <c r="G26" s="454">
        <v>5</v>
      </c>
      <c r="H26" s="454" t="str">
        <f t="shared" si="1"/>
        <v>Proposal Price IRR Unlevered!P3</v>
      </c>
    </row>
    <row r="27" spans="1:8">
      <c r="A27" s="454" t="s">
        <v>150</v>
      </c>
      <c r="B27" s="454" t="s">
        <v>219</v>
      </c>
      <c r="E27" s="454" t="s">
        <v>212</v>
      </c>
      <c r="F27" s="454" t="s">
        <v>215</v>
      </c>
      <c r="G27" s="454" t="s">
        <v>205</v>
      </c>
      <c r="H27" s="454" t="str">
        <f t="shared" si="1"/>
        <v>Proposal Price IRR Unlevered!P4</v>
      </c>
    </row>
    <row r="28" spans="1:8">
      <c r="A28" s="454" t="s">
        <v>150</v>
      </c>
      <c r="B28" s="454" t="s">
        <v>221</v>
      </c>
      <c r="E28" s="454" t="s">
        <v>217</v>
      </c>
      <c r="F28" s="454" t="s">
        <v>218</v>
      </c>
      <c r="G28" s="455" t="s">
        <v>78</v>
      </c>
      <c r="H28" s="454" t="str">
        <f>E28&amp;"!"&amp;F28</f>
        <v>Equity Returns Options!I2</v>
      </c>
    </row>
    <row r="29" spans="1:8">
      <c r="A29" s="454" t="s">
        <v>150</v>
      </c>
      <c r="B29" s="454" t="s">
        <v>900</v>
      </c>
      <c r="C29" s="455">
        <v>11000000</v>
      </c>
      <c r="E29" s="454" t="s">
        <v>217</v>
      </c>
      <c r="F29" s="454" t="s">
        <v>220</v>
      </c>
      <c r="G29" s="455" t="s">
        <v>120</v>
      </c>
      <c r="H29" s="454" t="str">
        <f>E29&amp;"!"&amp;F29</f>
        <v>Equity Returns Options!F9</v>
      </c>
    </row>
    <row r="30" spans="1:8">
      <c r="A30" s="454" t="s">
        <v>150</v>
      </c>
      <c r="B30" s="454" t="s">
        <v>901</v>
      </c>
      <c r="C30" s="455">
        <v>40330</v>
      </c>
      <c r="E30" s="454" t="s">
        <v>217</v>
      </c>
      <c r="F30" s="454" t="s">
        <v>222</v>
      </c>
      <c r="G30" s="455">
        <v>1</v>
      </c>
      <c r="H30" s="454" t="str">
        <f>E30&amp;"!"&amp;F30</f>
        <v>Equity Returns Options!F6</v>
      </c>
    </row>
    <row r="31" spans="1:8">
      <c r="A31" s="454" t="s">
        <v>150</v>
      </c>
      <c r="B31" s="454" t="s">
        <v>902</v>
      </c>
      <c r="C31" s="455">
        <v>4.8800000000000003E-2</v>
      </c>
      <c r="E31" s="454" t="s">
        <v>217</v>
      </c>
      <c r="F31" s="454" t="s">
        <v>225</v>
      </c>
      <c r="G31" s="455">
        <v>2</v>
      </c>
      <c r="H31" s="454" t="str">
        <f>E31&amp;"!"&amp;F31</f>
        <v>Equity Returns Options!F7</v>
      </c>
    </row>
    <row r="32" spans="1:8">
      <c r="A32" s="454" t="s">
        <v>150</v>
      </c>
      <c r="B32" s="454" t="s">
        <v>903</v>
      </c>
      <c r="C32" s="455">
        <v>30</v>
      </c>
      <c r="E32" s="454" t="s">
        <v>217</v>
      </c>
      <c r="F32" s="454" t="s">
        <v>227</v>
      </c>
      <c r="G32" s="455">
        <v>3</v>
      </c>
      <c r="H32" s="454" t="str">
        <f>E32&amp;"!"&amp;F32</f>
        <v>Equity Returns Options!F8</v>
      </c>
    </row>
    <row r="33" spans="1:3">
      <c r="A33" s="454" t="s">
        <v>150</v>
      </c>
      <c r="B33" s="454" t="s">
        <v>904</v>
      </c>
      <c r="C33" s="455">
        <v>10</v>
      </c>
    </row>
    <row r="34" spans="1:3">
      <c r="A34" s="454" t="s">
        <v>150</v>
      </c>
      <c r="B34" s="454" t="s">
        <v>370</v>
      </c>
      <c r="C34" s="455" t="s">
        <v>905</v>
      </c>
    </row>
    <row r="35" spans="1:3">
      <c r="A35" s="454" t="s">
        <v>150</v>
      </c>
      <c r="B35" s="454" t="s">
        <v>906</v>
      </c>
      <c r="C35" s="455">
        <v>0</v>
      </c>
    </row>
    <row r="36" spans="1:3">
      <c r="A36" s="454" t="s">
        <v>150</v>
      </c>
      <c r="B36" s="454" t="s">
        <v>907</v>
      </c>
      <c r="C36" s="455" t="s">
        <v>908</v>
      </c>
    </row>
    <row r="37" spans="1:3">
      <c r="A37" s="454" t="s">
        <v>150</v>
      </c>
      <c r="B37" s="454" t="s">
        <v>909</v>
      </c>
      <c r="C37" s="455">
        <v>0</v>
      </c>
    </row>
    <row r="38" spans="1:3">
      <c r="A38" s="454" t="s">
        <v>223</v>
      </c>
      <c r="B38" s="454" t="s">
        <v>244</v>
      </c>
      <c r="C38" s="455" t="s">
        <v>910</v>
      </c>
    </row>
    <row r="39" spans="1:3">
      <c r="A39" s="454" t="s">
        <v>223</v>
      </c>
      <c r="B39" s="454" t="s">
        <v>246</v>
      </c>
      <c r="C39" s="455" t="s">
        <v>911</v>
      </c>
    </row>
    <row r="40" spans="1:3">
      <c r="A40" s="454" t="s">
        <v>223</v>
      </c>
      <c r="B40" s="454" t="s">
        <v>253</v>
      </c>
      <c r="C40" s="455">
        <v>43831</v>
      </c>
    </row>
    <row r="41" spans="1:3">
      <c r="A41" s="454" t="s">
        <v>223</v>
      </c>
      <c r="B41" s="454" t="s">
        <v>257</v>
      </c>
      <c r="C41" s="455">
        <v>0.1</v>
      </c>
    </row>
    <row r="42" spans="1:3">
      <c r="A42" s="454" t="s">
        <v>223</v>
      </c>
      <c r="B42" s="454" t="s">
        <v>753</v>
      </c>
      <c r="C42" s="455" t="s">
        <v>912</v>
      </c>
    </row>
    <row r="43" spans="1:3">
      <c r="A43" s="454" t="s">
        <v>223</v>
      </c>
      <c r="B43" s="454" t="s">
        <v>423</v>
      </c>
      <c r="C43" s="455">
        <v>0.04</v>
      </c>
    </row>
    <row r="44" spans="1:3">
      <c r="A44" s="454" t="s">
        <v>223</v>
      </c>
      <c r="B44" s="454" t="s">
        <v>425</v>
      </c>
      <c r="C44" s="455">
        <v>4.4999999999999998E-2</v>
      </c>
    </row>
    <row r="45" spans="1:3">
      <c r="A45" s="454" t="s">
        <v>223</v>
      </c>
      <c r="B45" s="454" t="s">
        <v>429</v>
      </c>
      <c r="C45" s="455">
        <v>10</v>
      </c>
    </row>
    <row r="46" spans="1:3">
      <c r="A46" s="454" t="s">
        <v>223</v>
      </c>
      <c r="B46" s="454" t="s">
        <v>435</v>
      </c>
      <c r="C46" s="455">
        <v>0</v>
      </c>
    </row>
    <row r="47" spans="1:3">
      <c r="A47" s="454" t="s">
        <v>223</v>
      </c>
      <c r="B47" s="454" t="s">
        <v>439</v>
      </c>
      <c r="C47" s="455">
        <v>25</v>
      </c>
    </row>
    <row r="48" spans="1:3">
      <c r="A48" s="454" t="s">
        <v>223</v>
      </c>
      <c r="B48" s="454" t="s">
        <v>437</v>
      </c>
      <c r="C48" s="455">
        <v>0</v>
      </c>
    </row>
    <row r="49" spans="1:3">
      <c r="A49" s="454" t="s">
        <v>223</v>
      </c>
      <c r="B49" s="454" t="s">
        <v>441</v>
      </c>
      <c r="C49" s="455">
        <v>30</v>
      </c>
    </row>
    <row r="50" spans="1:3">
      <c r="A50" s="454" t="s">
        <v>223</v>
      </c>
      <c r="B50" s="454" t="s">
        <v>607</v>
      </c>
      <c r="C50" s="455">
        <v>6.5000000000000002E-2</v>
      </c>
    </row>
    <row r="51" spans="1:3">
      <c r="A51" s="454" t="s">
        <v>223</v>
      </c>
      <c r="B51" s="454" t="s">
        <v>232</v>
      </c>
      <c r="C51" s="455">
        <v>0</v>
      </c>
    </row>
    <row r="52" spans="1:3">
      <c r="A52" s="454" t="s">
        <v>223</v>
      </c>
      <c r="B52" s="454" t="s">
        <v>300</v>
      </c>
      <c r="C52" s="455">
        <v>0.01</v>
      </c>
    </row>
    <row r="53" spans="1:3">
      <c r="A53" s="454" t="s">
        <v>223</v>
      </c>
      <c r="B53" s="454" t="s">
        <v>298</v>
      </c>
      <c r="C53" s="455">
        <v>0.01</v>
      </c>
    </row>
    <row r="54" spans="1:3">
      <c r="A54" s="454" t="s">
        <v>223</v>
      </c>
      <c r="B54" s="454" t="s">
        <v>452</v>
      </c>
      <c r="C54" s="455">
        <v>137000</v>
      </c>
    </row>
    <row r="55" spans="1:3">
      <c r="A55" s="454" t="s">
        <v>182</v>
      </c>
      <c r="B55" s="454" t="s">
        <v>234</v>
      </c>
      <c r="C55" s="455" t="s">
        <v>235</v>
      </c>
    </row>
    <row r="56" spans="1:3">
      <c r="A56" s="454" t="s">
        <v>182</v>
      </c>
      <c r="B56" s="454" t="s">
        <v>151</v>
      </c>
      <c r="C56" s="455" t="s">
        <v>913</v>
      </c>
    </row>
    <row r="57" spans="1:3">
      <c r="A57" s="454" t="s">
        <v>182</v>
      </c>
      <c r="B57" s="454" t="s">
        <v>236</v>
      </c>
      <c r="C57" s="455" t="s">
        <v>914</v>
      </c>
    </row>
    <row r="58" spans="1:3">
      <c r="A58" s="454" t="s">
        <v>182</v>
      </c>
      <c r="B58" s="454" t="s">
        <v>237</v>
      </c>
      <c r="C58" s="455">
        <v>10</v>
      </c>
    </row>
    <row r="59" spans="1:3">
      <c r="A59" s="454" t="s">
        <v>182</v>
      </c>
      <c r="B59" s="454" t="s">
        <v>238</v>
      </c>
      <c r="C59" s="455">
        <v>705</v>
      </c>
    </row>
    <row r="60" spans="1:3">
      <c r="A60" s="454" t="s">
        <v>182</v>
      </c>
      <c r="B60" s="454" t="s">
        <v>227</v>
      </c>
      <c r="C60" s="455">
        <v>1659.9</v>
      </c>
    </row>
    <row r="61" spans="1:3">
      <c r="A61" s="454" t="s">
        <v>182</v>
      </c>
      <c r="B61" s="454" t="s">
        <v>239</v>
      </c>
      <c r="C61" s="455">
        <v>1659.9</v>
      </c>
    </row>
    <row r="62" spans="1:3">
      <c r="A62" s="454" t="s">
        <v>182</v>
      </c>
      <c r="B62" s="454" t="s">
        <v>240</v>
      </c>
      <c r="C62" s="455">
        <v>1725</v>
      </c>
    </row>
    <row r="63" spans="1:3">
      <c r="A63" s="454" t="s">
        <v>182</v>
      </c>
      <c r="B63" s="454" t="s">
        <v>180</v>
      </c>
    </row>
    <row r="64" spans="1:3">
      <c r="A64" s="454" t="s">
        <v>182</v>
      </c>
      <c r="B64" s="454" t="s">
        <v>241</v>
      </c>
      <c r="C64" s="455">
        <v>60000</v>
      </c>
    </row>
    <row r="65" spans="1:3">
      <c r="A65" s="454" t="s">
        <v>182</v>
      </c>
      <c r="B65" s="454" t="s">
        <v>242</v>
      </c>
      <c r="C65" s="455" t="s">
        <v>915</v>
      </c>
    </row>
    <row r="66" spans="1:3">
      <c r="A66" s="454" t="s">
        <v>182</v>
      </c>
      <c r="B66" s="454" t="s">
        <v>243</v>
      </c>
      <c r="C66" s="455">
        <v>5</v>
      </c>
    </row>
    <row r="67" spans="1:3">
      <c r="A67" s="454" t="s">
        <v>182</v>
      </c>
      <c r="B67" s="454" t="s">
        <v>224</v>
      </c>
      <c r="C67" s="455">
        <v>750</v>
      </c>
    </row>
    <row r="68" spans="1:3">
      <c r="A68" s="454" t="s">
        <v>182</v>
      </c>
      <c r="B68" s="454" t="s">
        <v>220</v>
      </c>
      <c r="C68" s="455">
        <v>1714</v>
      </c>
    </row>
    <row r="69" spans="1:3">
      <c r="A69" s="454" t="s">
        <v>182</v>
      </c>
      <c r="B69" s="454" t="s">
        <v>244</v>
      </c>
      <c r="C69" s="455">
        <v>1714</v>
      </c>
    </row>
    <row r="70" spans="1:3">
      <c r="A70" s="454" t="s">
        <v>182</v>
      </c>
      <c r="B70" s="454" t="s">
        <v>245</v>
      </c>
      <c r="C70" s="455">
        <v>1725</v>
      </c>
    </row>
    <row r="71" spans="1:3">
      <c r="A71" s="454" t="s">
        <v>182</v>
      </c>
      <c r="B71" s="454" t="s">
        <v>246</v>
      </c>
    </row>
    <row r="72" spans="1:3">
      <c r="A72" s="454" t="s">
        <v>182</v>
      </c>
      <c r="B72" s="454" t="s">
        <v>247</v>
      </c>
    </row>
    <row r="73" spans="1:3">
      <c r="A73" s="454" t="s">
        <v>182</v>
      </c>
      <c r="B73" s="454" t="s">
        <v>248</v>
      </c>
    </row>
    <row r="74" spans="1:3">
      <c r="A74" s="454" t="s">
        <v>182</v>
      </c>
      <c r="B74" s="454" t="s">
        <v>249</v>
      </c>
    </row>
    <row r="75" spans="1:3">
      <c r="A75" s="454" t="s">
        <v>182</v>
      </c>
      <c r="B75" s="454" t="s">
        <v>250</v>
      </c>
    </row>
    <row r="76" spans="1:3">
      <c r="A76" s="454" t="s">
        <v>182</v>
      </c>
      <c r="B76" s="454" t="s">
        <v>251</v>
      </c>
    </row>
    <row r="77" spans="1:3">
      <c r="A77" s="454" t="s">
        <v>182</v>
      </c>
      <c r="B77" s="454" t="s">
        <v>252</v>
      </c>
    </row>
    <row r="78" spans="1:3">
      <c r="A78" s="454" t="s">
        <v>182</v>
      </c>
      <c r="B78" s="454" t="s">
        <v>253</v>
      </c>
    </row>
    <row r="79" spans="1:3">
      <c r="A79" s="454" t="s">
        <v>182</v>
      </c>
      <c r="B79" s="454" t="s">
        <v>254</v>
      </c>
    </row>
    <row r="80" spans="1:3">
      <c r="A80" s="454" t="s">
        <v>182</v>
      </c>
      <c r="B80" s="454" t="s">
        <v>255</v>
      </c>
    </row>
    <row r="81" spans="1:3">
      <c r="A81" s="454" t="s">
        <v>182</v>
      </c>
      <c r="B81" s="454" t="s">
        <v>226</v>
      </c>
    </row>
    <row r="82" spans="1:3">
      <c r="A82" s="454" t="s">
        <v>182</v>
      </c>
      <c r="B82" s="454" t="s">
        <v>256</v>
      </c>
    </row>
    <row r="83" spans="1:3">
      <c r="A83" s="454" t="s">
        <v>182</v>
      </c>
      <c r="B83" s="454" t="s">
        <v>257</v>
      </c>
    </row>
    <row r="84" spans="1:3">
      <c r="A84" s="454" t="s">
        <v>182</v>
      </c>
      <c r="B84" s="454" t="s">
        <v>258</v>
      </c>
    </row>
    <row r="85" spans="1:3">
      <c r="A85" s="454" t="s">
        <v>182</v>
      </c>
      <c r="B85" s="454" t="s">
        <v>259</v>
      </c>
    </row>
    <row r="86" spans="1:3">
      <c r="A86" s="454" t="s">
        <v>182</v>
      </c>
      <c r="B86" s="454" t="s">
        <v>260</v>
      </c>
    </row>
    <row r="87" spans="1:3">
      <c r="A87" s="454" t="s">
        <v>182</v>
      </c>
      <c r="B87" s="454" t="s">
        <v>261</v>
      </c>
    </row>
    <row r="88" spans="1:3">
      <c r="A88" s="454" t="s">
        <v>182</v>
      </c>
      <c r="B88" s="454" t="s">
        <v>262</v>
      </c>
    </row>
    <row r="89" spans="1:3">
      <c r="A89" s="454" t="s">
        <v>182</v>
      </c>
      <c r="B89" s="454" t="s">
        <v>263</v>
      </c>
    </row>
    <row r="90" spans="1:3">
      <c r="A90" s="454" t="s">
        <v>182</v>
      </c>
      <c r="B90" s="454" t="s">
        <v>264</v>
      </c>
    </row>
    <row r="91" spans="1:3">
      <c r="A91" s="454" t="s">
        <v>182</v>
      </c>
      <c r="B91" s="454" t="s">
        <v>265</v>
      </c>
    </row>
    <row r="92" spans="1:3">
      <c r="A92" s="454" t="s">
        <v>182</v>
      </c>
      <c r="B92" s="454" t="s">
        <v>266</v>
      </c>
    </row>
    <row r="93" spans="1:3">
      <c r="A93" s="454" t="s">
        <v>182</v>
      </c>
      <c r="B93" s="454" t="s">
        <v>165</v>
      </c>
      <c r="C93" s="455" t="s">
        <v>916</v>
      </c>
    </row>
    <row r="94" spans="1:3">
      <c r="A94" s="454" t="s">
        <v>182</v>
      </c>
      <c r="B94" s="454" t="s">
        <v>267</v>
      </c>
      <c r="C94" s="455" t="s">
        <v>917</v>
      </c>
    </row>
    <row r="95" spans="1:3">
      <c r="A95" s="454" t="s">
        <v>182</v>
      </c>
      <c r="B95" s="454" t="s">
        <v>268</v>
      </c>
      <c r="C95" s="455">
        <v>12</v>
      </c>
    </row>
    <row r="96" spans="1:3">
      <c r="A96" s="454" t="s">
        <v>182</v>
      </c>
      <c r="B96" s="454" t="s">
        <v>269</v>
      </c>
      <c r="C96" s="455">
        <v>950</v>
      </c>
    </row>
    <row r="97" spans="1:3">
      <c r="A97" s="454" t="s">
        <v>182</v>
      </c>
      <c r="B97" s="454" t="s">
        <v>270</v>
      </c>
      <c r="C97" s="455">
        <v>2058.4166666666702</v>
      </c>
    </row>
    <row r="98" spans="1:3">
      <c r="A98" s="454" t="s">
        <v>182</v>
      </c>
      <c r="B98" s="454" t="s">
        <v>271</v>
      </c>
      <c r="C98" s="455">
        <v>2058.4166666666702</v>
      </c>
    </row>
    <row r="99" spans="1:3">
      <c r="A99" s="454" t="s">
        <v>182</v>
      </c>
      <c r="B99" s="454" t="s">
        <v>272</v>
      </c>
      <c r="C99" s="455">
        <v>2200</v>
      </c>
    </row>
    <row r="100" spans="1:3">
      <c r="A100" s="454" t="s">
        <v>182</v>
      </c>
      <c r="B100" s="454" t="s">
        <v>273</v>
      </c>
    </row>
    <row r="101" spans="1:3">
      <c r="A101" s="454" t="s">
        <v>182</v>
      </c>
      <c r="B101" s="454" t="s">
        <v>274</v>
      </c>
    </row>
    <row r="102" spans="1:3">
      <c r="A102" s="454" t="s">
        <v>182</v>
      </c>
      <c r="B102" s="454" t="s">
        <v>275</v>
      </c>
    </row>
    <row r="103" spans="1:3">
      <c r="A103" s="454" t="s">
        <v>182</v>
      </c>
      <c r="B103" s="454" t="s">
        <v>276</v>
      </c>
    </row>
    <row r="104" spans="1:3">
      <c r="A104" s="454" t="s">
        <v>182</v>
      </c>
      <c r="B104" s="454" t="s">
        <v>277</v>
      </c>
    </row>
    <row r="105" spans="1:3">
      <c r="A105" s="454" t="s">
        <v>182</v>
      </c>
      <c r="B105" s="454" t="s">
        <v>278</v>
      </c>
    </row>
    <row r="106" spans="1:3">
      <c r="A106" s="454" t="s">
        <v>182</v>
      </c>
      <c r="B106" s="454" t="s">
        <v>279</v>
      </c>
    </row>
    <row r="107" spans="1:3">
      <c r="A107" s="454" t="s">
        <v>182</v>
      </c>
      <c r="B107" s="454" t="s">
        <v>280</v>
      </c>
    </row>
    <row r="108" spans="1:3">
      <c r="A108" s="454" t="s">
        <v>182</v>
      </c>
      <c r="B108" s="454" t="s">
        <v>281</v>
      </c>
    </row>
    <row r="109" spans="1:3">
      <c r="A109" s="454" t="s">
        <v>182</v>
      </c>
      <c r="B109" s="454" t="s">
        <v>282</v>
      </c>
    </row>
    <row r="110" spans="1:3">
      <c r="A110" s="454" t="s">
        <v>182</v>
      </c>
      <c r="B110" s="454" t="s">
        <v>283</v>
      </c>
    </row>
    <row r="111" spans="1:3">
      <c r="A111" s="454" t="s">
        <v>182</v>
      </c>
      <c r="B111" s="454" t="s">
        <v>284</v>
      </c>
    </row>
    <row r="112" spans="1:3">
      <c r="A112" s="454" t="s">
        <v>182</v>
      </c>
      <c r="B112" s="454" t="s">
        <v>285</v>
      </c>
    </row>
    <row r="113" spans="1:2">
      <c r="A113" s="454" t="s">
        <v>182</v>
      </c>
      <c r="B113" s="454" t="s">
        <v>286</v>
      </c>
    </row>
    <row r="114" spans="1:2">
      <c r="A114" s="454" t="s">
        <v>182</v>
      </c>
      <c r="B114" s="454" t="s">
        <v>287</v>
      </c>
    </row>
    <row r="115" spans="1:2">
      <c r="A115" s="454" t="s">
        <v>182</v>
      </c>
      <c r="B115" s="454" t="s">
        <v>288</v>
      </c>
    </row>
    <row r="116" spans="1:2">
      <c r="A116" s="454" t="s">
        <v>182</v>
      </c>
      <c r="B116" s="454" t="s">
        <v>289</v>
      </c>
    </row>
    <row r="117" spans="1:2">
      <c r="A117" s="454" t="s">
        <v>182</v>
      </c>
      <c r="B117" s="454" t="s">
        <v>290</v>
      </c>
    </row>
    <row r="118" spans="1:2">
      <c r="A118" s="454" t="s">
        <v>182</v>
      </c>
      <c r="B118" s="454" t="s">
        <v>291</v>
      </c>
    </row>
    <row r="119" spans="1:2">
      <c r="A119" s="454" t="s">
        <v>182</v>
      </c>
      <c r="B119" s="454" t="s">
        <v>292</v>
      </c>
    </row>
    <row r="120" spans="1:2">
      <c r="A120" s="454" t="s">
        <v>182</v>
      </c>
      <c r="B120" s="454" t="s">
        <v>293</v>
      </c>
    </row>
    <row r="121" spans="1:2">
      <c r="A121" s="454" t="s">
        <v>182</v>
      </c>
      <c r="B121" s="454" t="s">
        <v>294</v>
      </c>
    </row>
    <row r="122" spans="1:2">
      <c r="A122" s="454" t="s">
        <v>182</v>
      </c>
      <c r="B122" s="454" t="s">
        <v>295</v>
      </c>
    </row>
    <row r="123" spans="1:2">
      <c r="A123" s="454" t="s">
        <v>182</v>
      </c>
      <c r="B123" s="454" t="s">
        <v>296</v>
      </c>
    </row>
    <row r="124" spans="1:2">
      <c r="A124" s="454" t="s">
        <v>182</v>
      </c>
      <c r="B124" s="454" t="s">
        <v>232</v>
      </c>
    </row>
    <row r="125" spans="1:2">
      <c r="A125" s="454" t="s">
        <v>182</v>
      </c>
      <c r="B125" s="454" t="s">
        <v>297</v>
      </c>
    </row>
    <row r="126" spans="1:2">
      <c r="A126" s="454" t="s">
        <v>182</v>
      </c>
      <c r="B126" s="454" t="s">
        <v>298</v>
      </c>
    </row>
    <row r="127" spans="1:2">
      <c r="A127" s="454" t="s">
        <v>182</v>
      </c>
      <c r="B127" s="454" t="s">
        <v>299</v>
      </c>
    </row>
    <row r="128" spans="1:2">
      <c r="A128" s="454" t="s">
        <v>182</v>
      </c>
      <c r="B128" s="454" t="s">
        <v>300</v>
      </c>
    </row>
    <row r="129" spans="1:3">
      <c r="A129" s="454" t="s">
        <v>182</v>
      </c>
      <c r="B129" s="454" t="s">
        <v>162</v>
      </c>
      <c r="C129" s="455" t="s">
        <v>918</v>
      </c>
    </row>
    <row r="130" spans="1:3">
      <c r="A130" s="454" t="s">
        <v>182</v>
      </c>
      <c r="B130" s="454" t="s">
        <v>301</v>
      </c>
      <c r="C130" s="455" t="s">
        <v>919</v>
      </c>
    </row>
    <row r="131" spans="1:3">
      <c r="A131" s="454" t="s">
        <v>182</v>
      </c>
      <c r="B131" s="454" t="s">
        <v>302</v>
      </c>
      <c r="C131" s="455">
        <v>12</v>
      </c>
    </row>
    <row r="132" spans="1:3">
      <c r="A132" s="454" t="s">
        <v>182</v>
      </c>
      <c r="B132" s="454" t="s">
        <v>303</v>
      </c>
      <c r="C132" s="455">
        <v>1200</v>
      </c>
    </row>
    <row r="133" spans="1:3">
      <c r="A133" s="454" t="s">
        <v>182</v>
      </c>
      <c r="B133" s="454" t="s">
        <v>304</v>
      </c>
      <c r="C133" s="455">
        <v>2171.6666666666702</v>
      </c>
    </row>
    <row r="134" spans="1:3">
      <c r="A134" s="454" t="s">
        <v>182</v>
      </c>
      <c r="B134" s="454" t="s">
        <v>305</v>
      </c>
      <c r="C134" s="455">
        <v>2171.6666666666702</v>
      </c>
    </row>
    <row r="135" spans="1:3">
      <c r="A135" s="454" t="s">
        <v>182</v>
      </c>
      <c r="B135" s="454" t="s">
        <v>306</v>
      </c>
      <c r="C135" s="455">
        <v>2450</v>
      </c>
    </row>
    <row r="136" spans="1:3">
      <c r="A136" s="454" t="s">
        <v>182</v>
      </c>
      <c r="B136" s="454" t="s">
        <v>307</v>
      </c>
    </row>
    <row r="137" spans="1:3">
      <c r="A137" s="454" t="s">
        <v>182</v>
      </c>
      <c r="B137" s="454" t="s">
        <v>308</v>
      </c>
      <c r="C137" s="455" t="s">
        <v>920</v>
      </c>
    </row>
    <row r="138" spans="1:3">
      <c r="A138" s="454" t="s">
        <v>182</v>
      </c>
      <c r="B138" s="454" t="s">
        <v>309</v>
      </c>
      <c r="C138" s="455">
        <v>6</v>
      </c>
    </row>
    <row r="139" spans="1:3">
      <c r="A139" s="454" t="s">
        <v>182</v>
      </c>
      <c r="B139" s="454" t="s">
        <v>310</v>
      </c>
      <c r="C139" s="455">
        <v>1200</v>
      </c>
    </row>
    <row r="140" spans="1:3">
      <c r="A140" s="454" t="s">
        <v>182</v>
      </c>
      <c r="B140" s="454" t="s">
        <v>311</v>
      </c>
      <c r="C140" s="455">
        <v>2369.1666666666702</v>
      </c>
    </row>
    <row r="141" spans="1:3">
      <c r="A141" s="454" t="s">
        <v>182</v>
      </c>
      <c r="B141" s="454" t="s">
        <v>312</v>
      </c>
      <c r="C141" s="455">
        <v>2369.1666666666702</v>
      </c>
    </row>
    <row r="142" spans="1:3">
      <c r="A142" s="454" t="s">
        <v>182</v>
      </c>
      <c r="B142" s="454" t="s">
        <v>313</v>
      </c>
      <c r="C142" s="455">
        <v>2450</v>
      </c>
    </row>
    <row r="143" spans="1:3">
      <c r="A143" s="454" t="s">
        <v>182</v>
      </c>
      <c r="B143" s="454" t="s">
        <v>314</v>
      </c>
    </row>
    <row r="144" spans="1:3">
      <c r="A144" s="454" t="s">
        <v>182</v>
      </c>
      <c r="B144" s="454" t="s">
        <v>315</v>
      </c>
    </row>
    <row r="145" spans="1:2">
      <c r="A145" s="454" t="s">
        <v>182</v>
      </c>
      <c r="B145" s="454" t="s">
        <v>316</v>
      </c>
    </row>
    <row r="146" spans="1:2">
      <c r="A146" s="454" t="s">
        <v>182</v>
      </c>
      <c r="B146" s="454" t="s">
        <v>317</v>
      </c>
    </row>
    <row r="147" spans="1:2">
      <c r="A147" s="454" t="s">
        <v>182</v>
      </c>
      <c r="B147" s="454" t="s">
        <v>318</v>
      </c>
    </row>
    <row r="148" spans="1:2">
      <c r="A148" s="454" t="s">
        <v>182</v>
      </c>
      <c r="B148" s="454" t="s">
        <v>319</v>
      </c>
    </row>
    <row r="149" spans="1:2">
      <c r="A149" s="454" t="s">
        <v>182</v>
      </c>
      <c r="B149" s="454" t="s">
        <v>320</v>
      </c>
    </row>
    <row r="150" spans="1:2">
      <c r="A150" s="454" t="s">
        <v>182</v>
      </c>
      <c r="B150" s="454" t="s">
        <v>321</v>
      </c>
    </row>
    <row r="151" spans="1:2">
      <c r="A151" s="454" t="s">
        <v>182</v>
      </c>
      <c r="B151" s="454" t="s">
        <v>322</v>
      </c>
    </row>
    <row r="152" spans="1:2">
      <c r="A152" s="454" t="s">
        <v>182</v>
      </c>
      <c r="B152" s="454" t="s">
        <v>323</v>
      </c>
    </row>
    <row r="153" spans="1:2">
      <c r="A153" s="454" t="s">
        <v>182</v>
      </c>
      <c r="B153" s="454" t="s">
        <v>324</v>
      </c>
    </row>
    <row r="154" spans="1:2">
      <c r="A154" s="454" t="s">
        <v>182</v>
      </c>
      <c r="B154" s="454" t="s">
        <v>325</v>
      </c>
    </row>
    <row r="155" spans="1:2">
      <c r="A155" s="454" t="s">
        <v>182</v>
      </c>
      <c r="B155" s="454" t="s">
        <v>326</v>
      </c>
    </row>
    <row r="156" spans="1:2">
      <c r="A156" s="454" t="s">
        <v>182</v>
      </c>
      <c r="B156" s="454" t="s">
        <v>327</v>
      </c>
    </row>
    <row r="157" spans="1:2">
      <c r="A157" s="454" t="s">
        <v>182</v>
      </c>
      <c r="B157" s="454" t="s">
        <v>328</v>
      </c>
    </row>
    <row r="158" spans="1:2">
      <c r="A158" s="454" t="s">
        <v>182</v>
      </c>
      <c r="B158" s="454" t="s">
        <v>329</v>
      </c>
    </row>
    <row r="159" spans="1:2">
      <c r="A159" s="454" t="s">
        <v>182</v>
      </c>
      <c r="B159" s="454" t="s">
        <v>330</v>
      </c>
    </row>
    <row r="160" spans="1:2">
      <c r="A160" s="454" t="s">
        <v>182</v>
      </c>
      <c r="B160" s="454" t="s">
        <v>331</v>
      </c>
    </row>
    <row r="161" spans="1:3">
      <c r="A161" s="454" t="s">
        <v>182</v>
      </c>
      <c r="B161" s="454" t="s">
        <v>332</v>
      </c>
    </row>
    <row r="162" spans="1:3">
      <c r="A162" s="454" t="s">
        <v>182</v>
      </c>
      <c r="B162" s="454" t="s">
        <v>333</v>
      </c>
    </row>
    <row r="163" spans="1:3">
      <c r="A163" s="454" t="s">
        <v>182</v>
      </c>
      <c r="B163" s="454" t="s">
        <v>334</v>
      </c>
    </row>
    <row r="164" spans="1:3">
      <c r="A164" s="454" t="s">
        <v>182</v>
      </c>
      <c r="B164" s="454" t="s">
        <v>335</v>
      </c>
    </row>
    <row r="165" spans="1:3">
      <c r="A165" s="454" t="s">
        <v>182</v>
      </c>
      <c r="B165" s="454" t="s">
        <v>171</v>
      </c>
      <c r="C165" s="455" t="s">
        <v>921</v>
      </c>
    </row>
    <row r="166" spans="1:3">
      <c r="A166" s="454" t="s">
        <v>182</v>
      </c>
      <c r="B166" s="454" t="s">
        <v>336</v>
      </c>
      <c r="C166" s="455" t="s">
        <v>922</v>
      </c>
    </row>
    <row r="167" spans="1:3">
      <c r="A167" s="454" t="s">
        <v>182</v>
      </c>
      <c r="B167" s="454" t="s">
        <v>177</v>
      </c>
      <c r="C167" s="455">
        <v>6</v>
      </c>
    </row>
    <row r="168" spans="1:3">
      <c r="A168" s="454" t="s">
        <v>182</v>
      </c>
      <c r="B168" s="454" t="s">
        <v>337</v>
      </c>
      <c r="C168" s="455">
        <v>1350</v>
      </c>
    </row>
    <row r="169" spans="1:3">
      <c r="A169" s="454" t="s">
        <v>182</v>
      </c>
      <c r="B169" s="454" t="s">
        <v>338</v>
      </c>
      <c r="C169" s="455">
        <v>2726.8333333333298</v>
      </c>
    </row>
    <row r="170" spans="1:3">
      <c r="A170" s="454" t="s">
        <v>182</v>
      </c>
      <c r="B170" s="454" t="s">
        <v>339</v>
      </c>
      <c r="C170" s="455">
        <v>2726.8333333333298</v>
      </c>
    </row>
    <row r="171" spans="1:3">
      <c r="A171" s="454" t="s">
        <v>182</v>
      </c>
      <c r="B171" s="454" t="s">
        <v>340</v>
      </c>
      <c r="C171" s="455">
        <v>2850</v>
      </c>
    </row>
    <row r="172" spans="1:3">
      <c r="A172" s="454" t="s">
        <v>182</v>
      </c>
      <c r="B172" s="454" t="s">
        <v>341</v>
      </c>
    </row>
    <row r="173" spans="1:3">
      <c r="A173" s="454" t="s">
        <v>182</v>
      </c>
      <c r="B173" s="454" t="s">
        <v>342</v>
      </c>
      <c r="C173" s="455" t="s">
        <v>923</v>
      </c>
    </row>
    <row r="174" spans="1:3">
      <c r="A174" s="454" t="s">
        <v>182</v>
      </c>
      <c r="B174" s="454" t="s">
        <v>343</v>
      </c>
      <c r="C174" s="455">
        <v>1</v>
      </c>
    </row>
    <row r="175" spans="1:3">
      <c r="A175" s="454" t="s">
        <v>182</v>
      </c>
      <c r="B175" s="454" t="s">
        <v>344</v>
      </c>
      <c r="C175" s="455">
        <v>1350</v>
      </c>
    </row>
    <row r="176" spans="1:3">
      <c r="A176" s="454" t="s">
        <v>182</v>
      </c>
      <c r="B176" s="454" t="s">
        <v>345</v>
      </c>
      <c r="C176" s="455">
        <v>2750</v>
      </c>
    </row>
    <row r="177" spans="1:3">
      <c r="A177" s="454" t="s">
        <v>182</v>
      </c>
      <c r="B177" s="454" t="s">
        <v>346</v>
      </c>
      <c r="C177" s="455">
        <v>2750</v>
      </c>
    </row>
    <row r="178" spans="1:3">
      <c r="A178" s="454" t="s">
        <v>182</v>
      </c>
      <c r="B178" s="454" t="s">
        <v>347</v>
      </c>
      <c r="C178" s="455">
        <v>2850</v>
      </c>
    </row>
    <row r="179" spans="1:3">
      <c r="A179" s="454" t="s">
        <v>182</v>
      </c>
      <c r="B179" s="454" t="s">
        <v>348</v>
      </c>
    </row>
    <row r="180" spans="1:3">
      <c r="A180" s="454" t="s">
        <v>182</v>
      </c>
      <c r="B180" s="454" t="s">
        <v>349</v>
      </c>
      <c r="C180" s="455" t="s">
        <v>924</v>
      </c>
    </row>
    <row r="181" spans="1:3">
      <c r="A181" s="454" t="s">
        <v>182</v>
      </c>
      <c r="B181" s="454" t="s">
        <v>350</v>
      </c>
      <c r="C181" s="455">
        <v>5</v>
      </c>
    </row>
    <row r="182" spans="1:3">
      <c r="A182" s="454" t="s">
        <v>182</v>
      </c>
      <c r="B182" s="454" t="s">
        <v>351</v>
      </c>
      <c r="C182" s="455">
        <v>1450</v>
      </c>
    </row>
    <row r="183" spans="1:3">
      <c r="A183" s="454" t="s">
        <v>182</v>
      </c>
      <c r="B183" s="454" t="s">
        <v>352</v>
      </c>
      <c r="C183" s="455">
        <v>2765.4</v>
      </c>
    </row>
    <row r="184" spans="1:3">
      <c r="A184" s="454" t="s">
        <v>182</v>
      </c>
      <c r="B184" s="454" t="s">
        <v>353</v>
      </c>
      <c r="C184" s="455">
        <v>2765.4</v>
      </c>
    </row>
    <row r="185" spans="1:3">
      <c r="A185" s="454" t="s">
        <v>182</v>
      </c>
      <c r="B185" s="454" t="s">
        <v>354</v>
      </c>
      <c r="C185" s="455">
        <v>2975</v>
      </c>
    </row>
    <row r="186" spans="1:3">
      <c r="A186" s="454" t="s">
        <v>182</v>
      </c>
      <c r="B186" s="454" t="s">
        <v>355</v>
      </c>
    </row>
    <row r="187" spans="1:3">
      <c r="A187" s="454" t="s">
        <v>182</v>
      </c>
      <c r="B187" s="454" t="s">
        <v>356</v>
      </c>
      <c r="C187" s="455" t="s">
        <v>925</v>
      </c>
    </row>
    <row r="188" spans="1:3">
      <c r="A188" s="454" t="s">
        <v>182</v>
      </c>
      <c r="B188" s="454" t="s">
        <v>357</v>
      </c>
      <c r="C188" s="455">
        <v>3</v>
      </c>
    </row>
    <row r="189" spans="1:3">
      <c r="A189" s="454" t="s">
        <v>182</v>
      </c>
      <c r="B189" s="454" t="s">
        <v>358</v>
      </c>
      <c r="C189" s="455">
        <v>1450</v>
      </c>
    </row>
    <row r="190" spans="1:3">
      <c r="A190" s="454" t="s">
        <v>182</v>
      </c>
      <c r="B190" s="454" t="s">
        <v>359</v>
      </c>
      <c r="C190" s="455">
        <v>2805</v>
      </c>
    </row>
    <row r="191" spans="1:3">
      <c r="A191" s="454" t="s">
        <v>182</v>
      </c>
      <c r="B191" s="454" t="s">
        <v>360</v>
      </c>
      <c r="C191" s="455">
        <v>2805</v>
      </c>
    </row>
    <row r="192" spans="1:3">
      <c r="A192" s="454" t="s">
        <v>182</v>
      </c>
      <c r="B192" s="454" t="s">
        <v>361</v>
      </c>
      <c r="C192" s="455">
        <v>2975</v>
      </c>
    </row>
    <row r="193" spans="1:3">
      <c r="A193" s="454" t="s">
        <v>182</v>
      </c>
      <c r="B193" s="454" t="s">
        <v>362</v>
      </c>
    </row>
    <row r="194" spans="1:3">
      <c r="A194" s="454" t="s">
        <v>182</v>
      </c>
      <c r="B194" s="454" t="s">
        <v>363</v>
      </c>
    </row>
    <row r="195" spans="1:3">
      <c r="A195" s="454" t="s">
        <v>182</v>
      </c>
      <c r="B195" s="454" t="s">
        <v>364</v>
      </c>
    </row>
    <row r="196" spans="1:3">
      <c r="A196" s="454" t="s">
        <v>182</v>
      </c>
      <c r="B196" s="454" t="s">
        <v>365</v>
      </c>
    </row>
    <row r="197" spans="1:3">
      <c r="A197" s="454" t="s">
        <v>182</v>
      </c>
      <c r="B197" s="454" t="s">
        <v>366</v>
      </c>
    </row>
    <row r="198" spans="1:3">
      <c r="A198" s="454" t="s">
        <v>182</v>
      </c>
      <c r="B198" s="454" t="s">
        <v>367</v>
      </c>
    </row>
    <row r="199" spans="1:3">
      <c r="A199" s="454" t="s">
        <v>182</v>
      </c>
      <c r="B199" s="454" t="s">
        <v>368</v>
      </c>
    </row>
    <row r="200" spans="1:3">
      <c r="A200" s="454" t="s">
        <v>182</v>
      </c>
      <c r="B200" s="454" t="s">
        <v>369</v>
      </c>
    </row>
    <row r="201" spans="1:3">
      <c r="A201" s="454" t="s">
        <v>182</v>
      </c>
      <c r="B201" s="454" t="s">
        <v>370</v>
      </c>
      <c r="C201" s="455" t="s">
        <v>64</v>
      </c>
    </row>
    <row r="202" spans="1:3">
      <c r="A202" s="454" t="s">
        <v>182</v>
      </c>
      <c r="B202" s="454" t="s">
        <v>371</v>
      </c>
      <c r="C202" s="455" t="s">
        <v>926</v>
      </c>
    </row>
    <row r="203" spans="1:3">
      <c r="A203" s="454" t="s">
        <v>182</v>
      </c>
      <c r="B203" s="454" t="s">
        <v>372</v>
      </c>
      <c r="C203" s="455">
        <v>4</v>
      </c>
    </row>
    <row r="204" spans="1:3">
      <c r="A204" s="454" t="s">
        <v>182</v>
      </c>
      <c r="B204" s="454" t="s">
        <v>373</v>
      </c>
      <c r="C204" s="455">
        <v>1755</v>
      </c>
    </row>
    <row r="205" spans="1:3">
      <c r="A205" s="454" t="s">
        <v>182</v>
      </c>
      <c r="B205" s="454" t="s">
        <v>374</v>
      </c>
      <c r="C205" s="455">
        <v>3544.88333333333</v>
      </c>
    </row>
    <row r="206" spans="1:3">
      <c r="A206" s="454" t="s">
        <v>182</v>
      </c>
      <c r="B206" s="454" t="s">
        <v>375</v>
      </c>
      <c r="C206" s="455">
        <v>3544.88333333333</v>
      </c>
    </row>
    <row r="207" spans="1:3">
      <c r="A207" s="454" t="s">
        <v>182</v>
      </c>
      <c r="B207" s="454" t="s">
        <v>376</v>
      </c>
      <c r="C207" s="455">
        <v>3705</v>
      </c>
    </row>
    <row r="208" spans="1:3">
      <c r="A208" s="454" t="s">
        <v>182</v>
      </c>
      <c r="B208" s="454" t="s">
        <v>377</v>
      </c>
    </row>
    <row r="209" spans="1:3">
      <c r="A209" s="454" t="s">
        <v>182</v>
      </c>
      <c r="B209" s="454" t="s">
        <v>378</v>
      </c>
      <c r="C209" s="455" t="s">
        <v>927</v>
      </c>
    </row>
    <row r="210" spans="1:3">
      <c r="A210" s="454" t="s">
        <v>182</v>
      </c>
      <c r="B210" s="454" t="s">
        <v>379</v>
      </c>
      <c r="C210" s="455">
        <v>2</v>
      </c>
    </row>
    <row r="211" spans="1:3">
      <c r="A211" s="454" t="s">
        <v>182</v>
      </c>
      <c r="B211" s="454" t="s">
        <v>380</v>
      </c>
      <c r="C211" s="455">
        <v>1755</v>
      </c>
    </row>
    <row r="212" spans="1:3">
      <c r="A212" s="454" t="s">
        <v>182</v>
      </c>
      <c r="B212" s="454" t="s">
        <v>381</v>
      </c>
      <c r="C212" s="455">
        <v>3575</v>
      </c>
    </row>
    <row r="213" spans="1:3">
      <c r="A213" s="454" t="s">
        <v>182</v>
      </c>
      <c r="B213" s="454" t="s">
        <v>382</v>
      </c>
      <c r="C213" s="455">
        <v>3575</v>
      </c>
    </row>
    <row r="214" spans="1:3">
      <c r="A214" s="454" t="s">
        <v>182</v>
      </c>
      <c r="B214" s="454" t="s">
        <v>383</v>
      </c>
      <c r="C214" s="455">
        <v>3705</v>
      </c>
    </row>
    <row r="215" spans="1:3">
      <c r="A215" s="454" t="s">
        <v>182</v>
      </c>
      <c r="B215" s="454" t="s">
        <v>384</v>
      </c>
    </row>
    <row r="216" spans="1:3">
      <c r="A216" s="454" t="s">
        <v>182</v>
      </c>
      <c r="B216" s="454" t="s">
        <v>385</v>
      </c>
      <c r="C216" s="455" t="s">
        <v>928</v>
      </c>
    </row>
    <row r="217" spans="1:3">
      <c r="A217" s="454" t="s">
        <v>182</v>
      </c>
      <c r="B217" s="454" t="s">
        <v>386</v>
      </c>
      <c r="C217" s="455">
        <v>3</v>
      </c>
    </row>
    <row r="218" spans="1:3">
      <c r="A218" s="454" t="s">
        <v>182</v>
      </c>
      <c r="B218" s="454" t="s">
        <v>387</v>
      </c>
      <c r="C218" s="455">
        <v>1885</v>
      </c>
    </row>
    <row r="219" spans="1:3">
      <c r="A219" s="454" t="s">
        <v>182</v>
      </c>
      <c r="B219" s="454" t="s">
        <v>388</v>
      </c>
      <c r="C219" s="455">
        <v>3595.02</v>
      </c>
    </row>
    <row r="220" spans="1:3">
      <c r="A220" s="454" t="s">
        <v>182</v>
      </c>
      <c r="B220" s="454" t="s">
        <v>389</v>
      </c>
      <c r="C220" s="455">
        <v>3595.02</v>
      </c>
    </row>
    <row r="221" spans="1:3">
      <c r="A221" s="454" t="s">
        <v>182</v>
      </c>
      <c r="B221" s="454" t="s">
        <v>390</v>
      </c>
      <c r="C221" s="455">
        <v>3867.5</v>
      </c>
    </row>
    <row r="222" spans="1:3">
      <c r="A222" s="454" t="s">
        <v>182</v>
      </c>
      <c r="B222" s="454" t="s">
        <v>391</v>
      </c>
    </row>
    <row r="223" spans="1:3">
      <c r="A223" s="454" t="s">
        <v>182</v>
      </c>
      <c r="B223" s="454" t="s">
        <v>392</v>
      </c>
      <c r="C223" s="455" t="s">
        <v>929</v>
      </c>
    </row>
    <row r="224" spans="1:3">
      <c r="A224" s="454" t="s">
        <v>182</v>
      </c>
      <c r="B224" s="454" t="s">
        <v>393</v>
      </c>
      <c r="C224" s="455">
        <v>4</v>
      </c>
    </row>
    <row r="225" spans="1:3">
      <c r="A225" s="454" t="s">
        <v>182</v>
      </c>
      <c r="B225" s="454" t="s">
        <v>394</v>
      </c>
      <c r="C225" s="455">
        <v>1885</v>
      </c>
    </row>
    <row r="226" spans="1:3">
      <c r="A226" s="454" t="s">
        <v>182</v>
      </c>
      <c r="B226" s="454" t="s">
        <v>395</v>
      </c>
      <c r="C226" s="455">
        <v>3646.5</v>
      </c>
    </row>
    <row r="227" spans="1:3">
      <c r="A227" s="454" t="s">
        <v>182</v>
      </c>
      <c r="B227" s="454" t="s">
        <v>396</v>
      </c>
      <c r="C227" s="455">
        <v>3646.5</v>
      </c>
    </row>
    <row r="228" spans="1:3">
      <c r="A228" s="454" t="s">
        <v>182</v>
      </c>
      <c r="B228" s="454" t="s">
        <v>397</v>
      </c>
      <c r="C228" s="455">
        <v>3867.5</v>
      </c>
    </row>
    <row r="229" spans="1:3">
      <c r="A229" s="454" t="s">
        <v>182</v>
      </c>
      <c r="B229" s="454" t="s">
        <v>398</v>
      </c>
    </row>
    <row r="230" spans="1:3">
      <c r="A230" s="454" t="s">
        <v>182</v>
      </c>
      <c r="B230" s="454" t="s">
        <v>399</v>
      </c>
      <c r="C230" s="455" t="s">
        <v>930</v>
      </c>
    </row>
    <row r="231" spans="1:3">
      <c r="A231" s="454" t="s">
        <v>182</v>
      </c>
      <c r="B231" s="454" t="s">
        <v>400</v>
      </c>
      <c r="C231" s="455">
        <v>5</v>
      </c>
    </row>
    <row r="232" spans="1:3">
      <c r="A232" s="454" t="s">
        <v>182</v>
      </c>
      <c r="B232" s="454" t="s">
        <v>401</v>
      </c>
      <c r="C232" s="455">
        <v>2262</v>
      </c>
    </row>
    <row r="233" spans="1:3">
      <c r="A233" s="454" t="s">
        <v>182</v>
      </c>
      <c r="B233" s="454" t="s">
        <v>402</v>
      </c>
      <c r="C233" s="455">
        <v>4375.8</v>
      </c>
    </row>
    <row r="234" spans="1:3">
      <c r="A234" s="454" t="s">
        <v>182</v>
      </c>
      <c r="B234" s="454" t="s">
        <v>403</v>
      </c>
      <c r="C234" s="455">
        <v>4375.8</v>
      </c>
    </row>
    <row r="235" spans="1:3">
      <c r="A235" s="454" t="s">
        <v>182</v>
      </c>
      <c r="B235" s="454" t="s">
        <v>404</v>
      </c>
      <c r="C235" s="455">
        <v>4641</v>
      </c>
    </row>
    <row r="236" spans="1:3">
      <c r="A236" s="454" t="s">
        <v>182</v>
      </c>
      <c r="B236" s="454" t="s">
        <v>405</v>
      </c>
    </row>
    <row r="237" spans="1:3">
      <c r="A237" s="454" t="s">
        <v>185</v>
      </c>
      <c r="B237" s="454" t="s">
        <v>717</v>
      </c>
      <c r="C237" s="455" t="s">
        <v>145</v>
      </c>
    </row>
    <row r="238" spans="1:3" ht="45">
      <c r="A238" s="454" t="s">
        <v>185</v>
      </c>
      <c r="B238" s="454" t="s">
        <v>169</v>
      </c>
      <c r="C238" s="458" t="s">
        <v>718</v>
      </c>
    </row>
    <row r="239" spans="1:3">
      <c r="A239" s="454" t="s">
        <v>191</v>
      </c>
      <c r="B239" s="454" t="s">
        <v>723</v>
      </c>
      <c r="C239" s="455" t="s">
        <v>724</v>
      </c>
    </row>
    <row r="240" spans="1:3">
      <c r="A240" s="454" t="s">
        <v>191</v>
      </c>
      <c r="B240" s="454" t="s">
        <v>725</v>
      </c>
      <c r="C240" s="455" t="s">
        <v>726</v>
      </c>
    </row>
    <row r="241" spans="1:3">
      <c r="A241" s="454" t="s">
        <v>191</v>
      </c>
      <c r="B241" s="454" t="s">
        <v>727</v>
      </c>
      <c r="C241" s="455" t="s">
        <v>728</v>
      </c>
    </row>
    <row r="242" spans="1:3">
      <c r="A242" s="454" t="s">
        <v>191</v>
      </c>
      <c r="B242" s="454" t="s">
        <v>210</v>
      </c>
      <c r="C242" s="455" t="s">
        <v>78</v>
      </c>
    </row>
    <row r="243" spans="1:3">
      <c r="A243" s="454" t="s">
        <v>191</v>
      </c>
      <c r="B243" s="454" t="s">
        <v>204</v>
      </c>
      <c r="C243" s="455" t="s">
        <v>729</v>
      </c>
    </row>
    <row r="244" spans="1:3">
      <c r="A244" s="454" t="s">
        <v>191</v>
      </c>
      <c r="B244" s="454" t="s">
        <v>732</v>
      </c>
    </row>
    <row r="245" spans="1:3">
      <c r="A245" s="454" t="s">
        <v>191</v>
      </c>
      <c r="B245" s="454" t="s">
        <v>734</v>
      </c>
      <c r="C245" s="455">
        <v>0</v>
      </c>
    </row>
    <row r="246" spans="1:3">
      <c r="A246" s="454" t="s">
        <v>191</v>
      </c>
      <c r="B246" s="454" t="s">
        <v>735</v>
      </c>
      <c r="C246" s="455">
        <v>0</v>
      </c>
    </row>
    <row r="247" spans="1:3">
      <c r="A247" s="454" t="s">
        <v>191</v>
      </c>
      <c r="B247" s="454" t="s">
        <v>736</v>
      </c>
      <c r="C247" s="455">
        <v>0</v>
      </c>
    </row>
    <row r="248" spans="1:3">
      <c r="A248" s="454" t="s">
        <v>191</v>
      </c>
      <c r="B248" s="454" t="s">
        <v>737</v>
      </c>
      <c r="C248" s="455">
        <v>0</v>
      </c>
    </row>
    <row r="249" spans="1:3">
      <c r="A249" s="454" t="s">
        <v>191</v>
      </c>
      <c r="B249" s="454" t="s">
        <v>738</v>
      </c>
      <c r="C249" s="455">
        <v>0</v>
      </c>
    </row>
    <row r="250" spans="1:3">
      <c r="A250" s="454" t="s">
        <v>191</v>
      </c>
      <c r="B250" s="454" t="s">
        <v>739</v>
      </c>
      <c r="C250" s="455">
        <v>0</v>
      </c>
    </row>
    <row r="251" spans="1:3">
      <c r="A251" s="454" t="s">
        <v>191</v>
      </c>
      <c r="B251" s="454" t="s">
        <v>740</v>
      </c>
      <c r="C251" s="455">
        <v>0.05</v>
      </c>
    </row>
    <row r="252" spans="1:3">
      <c r="A252" s="454" t="s">
        <v>191</v>
      </c>
      <c r="B252" s="454" t="s">
        <v>742</v>
      </c>
    </row>
    <row r="253" spans="1:3">
      <c r="A253" s="454" t="s">
        <v>191</v>
      </c>
      <c r="B253" s="454" t="s">
        <v>743</v>
      </c>
    </row>
    <row r="254" spans="1:3">
      <c r="A254" s="454" t="s">
        <v>191</v>
      </c>
      <c r="B254" s="454" t="s">
        <v>246</v>
      </c>
      <c r="C254" s="455">
        <v>0</v>
      </c>
    </row>
    <row r="255" spans="1:3">
      <c r="A255" s="454" t="s">
        <v>191</v>
      </c>
      <c r="B255" s="454" t="s">
        <v>744</v>
      </c>
      <c r="C255" s="455">
        <v>0</v>
      </c>
    </row>
    <row r="256" spans="1:3">
      <c r="A256" s="454" t="s">
        <v>191</v>
      </c>
      <c r="B256" s="454" t="s">
        <v>745</v>
      </c>
      <c r="C256" s="455">
        <v>0</v>
      </c>
    </row>
    <row r="257" spans="1:3">
      <c r="A257" s="454" t="s">
        <v>191</v>
      </c>
      <c r="B257" s="454" t="s">
        <v>746</v>
      </c>
      <c r="C257" s="455">
        <v>0.05</v>
      </c>
    </row>
    <row r="258" spans="1:3">
      <c r="A258" s="454" t="s">
        <v>191</v>
      </c>
      <c r="B258" s="454" t="s">
        <v>241</v>
      </c>
      <c r="C258" s="455">
        <v>0.05</v>
      </c>
    </row>
    <row r="259" spans="1:3">
      <c r="A259" s="454" t="s">
        <v>191</v>
      </c>
      <c r="B259" s="454" t="s">
        <v>748</v>
      </c>
    </row>
    <row r="260" spans="1:3">
      <c r="A260" s="454" t="s">
        <v>191</v>
      </c>
      <c r="B260" s="454" t="s">
        <v>226</v>
      </c>
      <c r="C260" s="455" t="s">
        <v>750</v>
      </c>
    </row>
    <row r="261" spans="1:3">
      <c r="A261" s="454" t="s">
        <v>191</v>
      </c>
      <c r="B261" s="454" t="s">
        <v>259</v>
      </c>
      <c r="C261" s="455">
        <v>0</v>
      </c>
    </row>
    <row r="262" spans="1:3">
      <c r="A262" s="454" t="s">
        <v>191</v>
      </c>
      <c r="B262" s="454" t="s">
        <v>262</v>
      </c>
      <c r="C262" s="455" t="s">
        <v>751</v>
      </c>
    </row>
    <row r="263" spans="1:3">
      <c r="A263" s="454" t="s">
        <v>191</v>
      </c>
      <c r="B263" s="454" t="s">
        <v>266</v>
      </c>
      <c r="C263" s="455">
        <v>0</v>
      </c>
    </row>
    <row r="264" spans="1:3">
      <c r="A264" s="454" t="s">
        <v>191</v>
      </c>
      <c r="B264" s="454" t="s">
        <v>228</v>
      </c>
      <c r="C264" s="455" t="s">
        <v>752</v>
      </c>
    </row>
    <row r="265" spans="1:3">
      <c r="A265" s="454" t="s">
        <v>191</v>
      </c>
      <c r="B265" s="454" t="s">
        <v>425</v>
      </c>
      <c r="C265" s="455">
        <v>0</v>
      </c>
    </row>
    <row r="266" spans="1:3">
      <c r="A266" s="454" t="s">
        <v>191</v>
      </c>
      <c r="B266" s="454" t="s">
        <v>753</v>
      </c>
      <c r="C266" s="455">
        <v>0</v>
      </c>
    </row>
    <row r="267" spans="1:3">
      <c r="A267" s="454" t="s">
        <v>191</v>
      </c>
      <c r="B267" s="454" t="s">
        <v>754</v>
      </c>
      <c r="C267" s="455">
        <v>0</v>
      </c>
    </row>
    <row r="268" spans="1:3">
      <c r="A268" s="454" t="s">
        <v>191</v>
      </c>
      <c r="B268" s="454" t="s">
        <v>755</v>
      </c>
      <c r="C268" s="455">
        <v>0</v>
      </c>
    </row>
    <row r="269" spans="1:3">
      <c r="A269" s="454" t="s">
        <v>191</v>
      </c>
      <c r="B269" s="454" t="s">
        <v>756</v>
      </c>
      <c r="C269" s="455">
        <v>0</v>
      </c>
    </row>
    <row r="270" spans="1:3">
      <c r="A270" s="454" t="s">
        <v>191</v>
      </c>
      <c r="B270" s="454" t="s">
        <v>596</v>
      </c>
      <c r="C270" s="455">
        <v>0</v>
      </c>
    </row>
    <row r="271" spans="1:3">
      <c r="A271" s="454" t="s">
        <v>191</v>
      </c>
      <c r="B271" s="454" t="s">
        <v>598</v>
      </c>
      <c r="C271" s="455">
        <v>0</v>
      </c>
    </row>
    <row r="272" spans="1:3">
      <c r="A272" s="454" t="s">
        <v>191</v>
      </c>
      <c r="B272" s="454" t="s">
        <v>757</v>
      </c>
      <c r="C272" s="455">
        <v>-1500</v>
      </c>
    </row>
    <row r="273" spans="1:3">
      <c r="A273" s="454" t="s">
        <v>191</v>
      </c>
      <c r="B273" s="454" t="s">
        <v>758</v>
      </c>
      <c r="C273" s="455">
        <v>-3945</v>
      </c>
    </row>
    <row r="274" spans="1:3">
      <c r="A274" s="454" t="s">
        <v>191</v>
      </c>
      <c r="B274" s="454" t="s">
        <v>759</v>
      </c>
      <c r="C274" s="455">
        <v>-1500</v>
      </c>
    </row>
    <row r="275" spans="1:3">
      <c r="A275" s="454" t="s">
        <v>191</v>
      </c>
      <c r="B275" s="454" t="s">
        <v>760</v>
      </c>
      <c r="C275" s="455">
        <v>1E-3</v>
      </c>
    </row>
    <row r="276" spans="1:3">
      <c r="A276" s="454" t="s">
        <v>191</v>
      </c>
      <c r="B276" s="454" t="s">
        <v>762</v>
      </c>
    </row>
    <row r="277" spans="1:3">
      <c r="A277" s="454" t="s">
        <v>191</v>
      </c>
      <c r="B277" s="454" t="s">
        <v>183</v>
      </c>
      <c r="C277" s="455">
        <v>3.0000000000000001E-3</v>
      </c>
    </row>
    <row r="278" spans="1:3">
      <c r="A278" s="454" t="s">
        <v>191</v>
      </c>
      <c r="B278" s="454" t="s">
        <v>764</v>
      </c>
    </row>
    <row r="279" spans="1:3">
      <c r="A279" s="454" t="s">
        <v>191</v>
      </c>
      <c r="B279" s="454" t="s">
        <v>765</v>
      </c>
      <c r="C279" s="455">
        <v>1E-3</v>
      </c>
    </row>
    <row r="280" spans="1:3">
      <c r="A280" s="454" t="s">
        <v>191</v>
      </c>
      <c r="B280" s="454" t="s">
        <v>767</v>
      </c>
    </row>
    <row r="281" spans="1:3">
      <c r="A281" s="454" t="s">
        <v>191</v>
      </c>
      <c r="B281" s="454" t="s">
        <v>768</v>
      </c>
    </row>
    <row r="282" spans="1:3">
      <c r="A282" s="454" t="s">
        <v>191</v>
      </c>
      <c r="B282" s="454" t="s">
        <v>769</v>
      </c>
    </row>
    <row r="283" spans="1:3">
      <c r="A283" s="454" t="s">
        <v>191</v>
      </c>
      <c r="B283" s="454" t="s">
        <v>770</v>
      </c>
      <c r="C283" s="455" t="s">
        <v>771</v>
      </c>
    </row>
    <row r="284" spans="1:3">
      <c r="A284" s="454" t="s">
        <v>191</v>
      </c>
      <c r="B284" s="454" t="s">
        <v>445</v>
      </c>
      <c r="C284" s="455">
        <v>0</v>
      </c>
    </row>
    <row r="285" spans="1:3">
      <c r="A285" s="454" t="s">
        <v>191</v>
      </c>
      <c r="B285" s="454" t="s">
        <v>269</v>
      </c>
      <c r="C285" s="455" t="s">
        <v>772</v>
      </c>
    </row>
    <row r="286" spans="1:3">
      <c r="A286" s="454" t="s">
        <v>191</v>
      </c>
      <c r="B286" s="454" t="s">
        <v>273</v>
      </c>
      <c r="C286" s="455">
        <v>0</v>
      </c>
    </row>
    <row r="287" spans="1:3">
      <c r="A287" s="454" t="s">
        <v>191</v>
      </c>
      <c r="B287" s="454" t="s">
        <v>773</v>
      </c>
      <c r="C287" s="455">
        <v>0</v>
      </c>
    </row>
    <row r="288" spans="1:3">
      <c r="A288" s="454" t="s">
        <v>191</v>
      </c>
      <c r="B288" s="454" t="s">
        <v>774</v>
      </c>
      <c r="C288" s="455">
        <v>0</v>
      </c>
    </row>
    <row r="289" spans="1:3">
      <c r="A289" s="454" t="s">
        <v>191</v>
      </c>
      <c r="B289" s="454" t="s">
        <v>608</v>
      </c>
      <c r="C289" s="455">
        <v>0</v>
      </c>
    </row>
    <row r="290" spans="1:3">
      <c r="A290" s="454" t="s">
        <v>191</v>
      </c>
      <c r="B290" s="454" t="s">
        <v>610</v>
      </c>
      <c r="C290" s="455">
        <v>0</v>
      </c>
    </row>
    <row r="291" spans="1:3">
      <c r="A291" s="454" t="s">
        <v>191</v>
      </c>
      <c r="B291" s="454" t="s">
        <v>775</v>
      </c>
      <c r="C291" s="455">
        <v>7500</v>
      </c>
    </row>
    <row r="292" spans="1:3">
      <c r="A292" s="454" t="s">
        <v>191</v>
      </c>
      <c r="B292" s="454" t="s">
        <v>776</v>
      </c>
      <c r="C292" s="455">
        <v>70000</v>
      </c>
    </row>
    <row r="293" spans="1:3">
      <c r="A293" s="454" t="s">
        <v>191</v>
      </c>
      <c r="B293" s="454" t="s">
        <v>777</v>
      </c>
      <c r="C293" s="455">
        <v>7500</v>
      </c>
    </row>
    <row r="294" spans="1:3">
      <c r="A294" s="454" t="s">
        <v>191</v>
      </c>
      <c r="B294" s="454" t="s">
        <v>778</v>
      </c>
      <c r="C294" s="455">
        <v>70000</v>
      </c>
    </row>
    <row r="295" spans="1:3">
      <c r="A295" s="454" t="s">
        <v>191</v>
      </c>
      <c r="B295" s="454" t="s">
        <v>780</v>
      </c>
    </row>
    <row r="296" spans="1:3">
      <c r="A296" s="454" t="s">
        <v>191</v>
      </c>
      <c r="B296" s="454" t="s">
        <v>782</v>
      </c>
    </row>
    <row r="297" spans="1:3">
      <c r="A297" s="454" t="s">
        <v>191</v>
      </c>
      <c r="B297" s="454" t="s">
        <v>454</v>
      </c>
      <c r="C297" s="455">
        <v>0</v>
      </c>
    </row>
    <row r="298" spans="1:3">
      <c r="A298" s="454" t="s">
        <v>191</v>
      </c>
      <c r="B298" s="454" t="s">
        <v>458</v>
      </c>
      <c r="C298" s="455">
        <v>0</v>
      </c>
    </row>
    <row r="299" spans="1:3">
      <c r="A299" s="454" t="s">
        <v>191</v>
      </c>
      <c r="B299" s="454" t="s">
        <v>783</v>
      </c>
      <c r="C299" s="455" t="s">
        <v>784</v>
      </c>
    </row>
    <row r="300" spans="1:3">
      <c r="A300" s="454" t="s">
        <v>191</v>
      </c>
      <c r="B300" s="454" t="s">
        <v>462</v>
      </c>
      <c r="C300" s="455">
        <v>0</v>
      </c>
    </row>
    <row r="301" spans="1:3">
      <c r="A301" s="454" t="s">
        <v>191</v>
      </c>
      <c r="B301" s="454" t="s">
        <v>785</v>
      </c>
      <c r="C301" s="455" t="s">
        <v>786</v>
      </c>
    </row>
    <row r="302" spans="1:3">
      <c r="A302" s="454" t="s">
        <v>191</v>
      </c>
      <c r="B302" s="454" t="s">
        <v>466</v>
      </c>
      <c r="C302" s="455">
        <v>0</v>
      </c>
    </row>
    <row r="303" spans="1:3">
      <c r="A303" s="454" t="s">
        <v>191</v>
      </c>
      <c r="B303" s="454" t="s">
        <v>787</v>
      </c>
      <c r="C303" s="455" t="s">
        <v>788</v>
      </c>
    </row>
    <row r="304" spans="1:3">
      <c r="A304" s="454" t="s">
        <v>191</v>
      </c>
      <c r="B304" s="454" t="s">
        <v>470</v>
      </c>
      <c r="C304" s="455">
        <v>0</v>
      </c>
    </row>
    <row r="305" spans="1:3">
      <c r="A305" s="454" t="s">
        <v>191</v>
      </c>
      <c r="B305" s="454" t="s">
        <v>789</v>
      </c>
      <c r="C305" s="455" t="s">
        <v>790</v>
      </c>
    </row>
    <row r="306" spans="1:3">
      <c r="A306" s="454" t="s">
        <v>191</v>
      </c>
      <c r="B306" s="454" t="s">
        <v>474</v>
      </c>
      <c r="C306" s="458">
        <v>0</v>
      </c>
    </row>
    <row r="307" spans="1:3">
      <c r="A307" s="454" t="s">
        <v>191</v>
      </c>
      <c r="B307" s="454" t="s">
        <v>303</v>
      </c>
      <c r="C307" s="455" t="s">
        <v>791</v>
      </c>
    </row>
    <row r="308" spans="1:3">
      <c r="A308" s="454" t="s">
        <v>191</v>
      </c>
      <c r="B308" s="454" t="s">
        <v>307</v>
      </c>
      <c r="C308" s="455">
        <v>0</v>
      </c>
    </row>
    <row r="309" spans="1:3">
      <c r="A309" s="454" t="s">
        <v>191</v>
      </c>
      <c r="B309" s="454" t="s">
        <v>310</v>
      </c>
      <c r="C309" s="455" t="s">
        <v>792</v>
      </c>
    </row>
    <row r="310" spans="1:3">
      <c r="A310" s="454" t="s">
        <v>191</v>
      </c>
      <c r="B310" s="454" t="s">
        <v>314</v>
      </c>
      <c r="C310" s="455">
        <v>0</v>
      </c>
    </row>
    <row r="311" spans="1:3">
      <c r="A311" s="454" t="s">
        <v>191</v>
      </c>
      <c r="B311" s="454" t="s">
        <v>317</v>
      </c>
      <c r="C311" s="455" t="s">
        <v>793</v>
      </c>
    </row>
    <row r="312" spans="1:3">
      <c r="A312" s="454" t="s">
        <v>191</v>
      </c>
      <c r="B312" s="454" t="s">
        <v>321</v>
      </c>
      <c r="C312" s="455">
        <v>0</v>
      </c>
    </row>
    <row r="313" spans="1:3">
      <c r="A313" s="454" t="s">
        <v>191</v>
      </c>
      <c r="B313" s="454" t="s">
        <v>324</v>
      </c>
      <c r="C313" s="455" t="s">
        <v>794</v>
      </c>
    </row>
    <row r="314" spans="1:3">
      <c r="A314" s="454" t="s">
        <v>191</v>
      </c>
      <c r="B314" s="454" t="s">
        <v>328</v>
      </c>
      <c r="C314" s="455">
        <v>0</v>
      </c>
    </row>
    <row r="315" spans="1:3">
      <c r="A315" s="454" t="s">
        <v>191</v>
      </c>
      <c r="B315" s="454" t="s">
        <v>331</v>
      </c>
      <c r="C315" s="455" t="s">
        <v>795</v>
      </c>
    </row>
    <row r="316" spans="1:3">
      <c r="A316" s="454" t="s">
        <v>191</v>
      </c>
      <c r="B316" s="454" t="s">
        <v>335</v>
      </c>
      <c r="C316" s="455">
        <v>0</v>
      </c>
    </row>
    <row r="317" spans="1:3">
      <c r="A317" s="454" t="s">
        <v>191</v>
      </c>
      <c r="B317" s="454" t="s">
        <v>796</v>
      </c>
      <c r="C317" s="455" t="s">
        <v>797</v>
      </c>
    </row>
    <row r="318" spans="1:3">
      <c r="A318" s="454" t="s">
        <v>191</v>
      </c>
      <c r="B318" s="454" t="s">
        <v>483</v>
      </c>
      <c r="C318" s="455">
        <v>0</v>
      </c>
    </row>
    <row r="319" spans="1:3">
      <c r="A319" s="454" t="s">
        <v>191</v>
      </c>
      <c r="B319" s="454" t="s">
        <v>798</v>
      </c>
      <c r="C319" s="455" t="s">
        <v>799</v>
      </c>
    </row>
    <row r="320" spans="1:3">
      <c r="A320" s="454" t="s">
        <v>191</v>
      </c>
      <c r="B320" s="454" t="s">
        <v>487</v>
      </c>
      <c r="C320" s="455">
        <v>0</v>
      </c>
    </row>
    <row r="321" spans="1:3">
      <c r="A321" s="454" t="s">
        <v>191</v>
      </c>
      <c r="B321" s="454" t="s">
        <v>800</v>
      </c>
      <c r="C321" s="455">
        <v>290549</v>
      </c>
    </row>
    <row r="322" spans="1:3">
      <c r="A322" s="454" t="s">
        <v>191</v>
      </c>
      <c r="B322" s="454" t="s">
        <v>801</v>
      </c>
      <c r="C322" s="455">
        <v>25845</v>
      </c>
    </row>
    <row r="323" spans="1:3">
      <c r="A323" s="454" t="s">
        <v>191</v>
      </c>
      <c r="B323" s="454" t="s">
        <v>802</v>
      </c>
      <c r="C323" s="455">
        <v>35000</v>
      </c>
    </row>
    <row r="324" spans="1:3">
      <c r="A324" s="454" t="s">
        <v>191</v>
      </c>
      <c r="B324" s="454" t="s">
        <v>803</v>
      </c>
      <c r="C324" s="455">
        <v>16000</v>
      </c>
    </row>
    <row r="325" spans="1:3">
      <c r="A325" s="454" t="s">
        <v>191</v>
      </c>
      <c r="B325" s="454" t="s">
        <v>804</v>
      </c>
      <c r="C325" s="455">
        <v>14000</v>
      </c>
    </row>
    <row r="326" spans="1:3">
      <c r="A326" s="454" t="s">
        <v>191</v>
      </c>
      <c r="B326" s="454" t="s">
        <v>805</v>
      </c>
      <c r="C326" s="455">
        <v>14000</v>
      </c>
    </row>
    <row r="327" spans="1:3">
      <c r="A327" s="454" t="s">
        <v>191</v>
      </c>
      <c r="B327" s="454" t="s">
        <v>806</v>
      </c>
      <c r="C327" s="455">
        <v>22500</v>
      </c>
    </row>
    <row r="328" spans="1:3">
      <c r="A328" s="454" t="s">
        <v>191</v>
      </c>
      <c r="B328" s="454" t="s">
        <v>807</v>
      </c>
      <c r="C328" s="455">
        <v>22531</v>
      </c>
    </row>
    <row r="329" spans="1:3">
      <c r="A329" s="454" t="s">
        <v>191</v>
      </c>
      <c r="B329" s="454" t="s">
        <v>808</v>
      </c>
      <c r="C329" s="455">
        <v>1500</v>
      </c>
    </row>
    <row r="330" spans="1:3">
      <c r="A330" s="454" t="s">
        <v>191</v>
      </c>
      <c r="B330" s="454" t="s">
        <v>809</v>
      </c>
      <c r="C330" s="455">
        <v>51000</v>
      </c>
    </row>
    <row r="331" spans="1:3">
      <c r="A331" s="454" t="s">
        <v>191</v>
      </c>
      <c r="B331" s="454" t="s">
        <v>810</v>
      </c>
      <c r="C331" s="455">
        <v>12000</v>
      </c>
    </row>
    <row r="332" spans="1:3">
      <c r="A332" s="454" t="s">
        <v>191</v>
      </c>
      <c r="B332" s="454" t="s">
        <v>811</v>
      </c>
      <c r="C332" s="455">
        <v>6000</v>
      </c>
    </row>
    <row r="333" spans="1:3">
      <c r="A333" s="454" t="s">
        <v>191</v>
      </c>
      <c r="B333" s="454" t="s">
        <v>812</v>
      </c>
      <c r="C333" s="455">
        <v>5000</v>
      </c>
    </row>
    <row r="334" spans="1:3">
      <c r="A334" s="454" t="s">
        <v>191</v>
      </c>
      <c r="B334" s="454" t="s">
        <v>813</v>
      </c>
      <c r="C334" s="455">
        <v>10000</v>
      </c>
    </row>
    <row r="335" spans="1:3">
      <c r="A335" s="454" t="s">
        <v>191</v>
      </c>
      <c r="B335" s="454" t="s">
        <v>814</v>
      </c>
      <c r="C335" s="455">
        <v>299265</v>
      </c>
    </row>
    <row r="336" spans="1:3">
      <c r="A336" s="454" t="s">
        <v>191</v>
      </c>
      <c r="B336" s="454" t="s">
        <v>815</v>
      </c>
      <c r="C336" s="455">
        <v>25845</v>
      </c>
    </row>
    <row r="337" spans="1:3">
      <c r="A337" s="454" t="s">
        <v>191</v>
      </c>
      <c r="B337" s="454" t="s">
        <v>816</v>
      </c>
      <c r="C337" s="455">
        <v>36050</v>
      </c>
    </row>
    <row r="338" spans="1:3">
      <c r="A338" s="454" t="s">
        <v>191</v>
      </c>
      <c r="B338" s="454" t="s">
        <v>817</v>
      </c>
      <c r="C338" s="455">
        <v>16480</v>
      </c>
    </row>
    <row r="339" spans="1:3">
      <c r="A339" s="454" t="s">
        <v>191</v>
      </c>
      <c r="B339" s="454" t="s">
        <v>818</v>
      </c>
      <c r="C339" s="455">
        <v>14420</v>
      </c>
    </row>
    <row r="340" spans="1:3">
      <c r="A340" s="454" t="s">
        <v>191</v>
      </c>
      <c r="B340" s="454" t="s">
        <v>819</v>
      </c>
      <c r="C340" s="455">
        <v>14420</v>
      </c>
    </row>
    <row r="341" spans="1:3">
      <c r="A341" s="454" t="s">
        <v>191</v>
      </c>
      <c r="B341" s="454" t="s">
        <v>820</v>
      </c>
      <c r="C341" s="455">
        <v>23175</v>
      </c>
    </row>
    <row r="342" spans="1:3">
      <c r="A342" s="454" t="s">
        <v>191</v>
      </c>
      <c r="B342" s="454" t="s">
        <v>821</v>
      </c>
      <c r="C342" s="455">
        <v>23207</v>
      </c>
    </row>
    <row r="343" spans="1:3">
      <c r="A343" s="454" t="s">
        <v>191</v>
      </c>
      <c r="B343" s="454" t="s">
        <v>822</v>
      </c>
      <c r="C343" s="455">
        <v>1545</v>
      </c>
    </row>
    <row r="344" spans="1:3">
      <c r="A344" s="454" t="s">
        <v>191</v>
      </c>
      <c r="B344" s="454" t="s">
        <v>823</v>
      </c>
      <c r="C344" s="455">
        <v>52530</v>
      </c>
    </row>
    <row r="345" spans="1:3">
      <c r="A345" s="454" t="s">
        <v>191</v>
      </c>
      <c r="B345" s="454" t="s">
        <v>824</v>
      </c>
      <c r="C345" s="455">
        <v>12360</v>
      </c>
    </row>
    <row r="346" spans="1:3">
      <c r="A346" s="454" t="s">
        <v>191</v>
      </c>
      <c r="B346" s="454" t="s">
        <v>825</v>
      </c>
      <c r="C346" s="455">
        <v>6180</v>
      </c>
    </row>
    <row r="347" spans="1:3">
      <c r="A347" s="454" t="s">
        <v>191</v>
      </c>
      <c r="B347" s="454" t="s">
        <v>826</v>
      </c>
      <c r="C347" s="455">
        <v>5150</v>
      </c>
    </row>
    <row r="348" spans="1:3">
      <c r="A348" s="454" t="s">
        <v>191</v>
      </c>
      <c r="B348" s="454" t="s">
        <v>827</v>
      </c>
      <c r="C348" s="455">
        <v>10300</v>
      </c>
    </row>
    <row r="349" spans="1:3">
      <c r="A349" s="454" t="s">
        <v>191</v>
      </c>
      <c r="B349" s="454" t="s">
        <v>829</v>
      </c>
      <c r="C349" s="455">
        <v>1</v>
      </c>
    </row>
    <row r="350" spans="1:3">
      <c r="A350" s="454" t="s">
        <v>191</v>
      </c>
      <c r="B350" s="454" t="s">
        <v>831</v>
      </c>
      <c r="C350" s="455">
        <v>2</v>
      </c>
    </row>
    <row r="351" spans="1:3">
      <c r="A351" s="454" t="s">
        <v>191</v>
      </c>
      <c r="B351" s="454" t="s">
        <v>833</v>
      </c>
    </row>
    <row r="352" spans="1:3">
      <c r="A352" s="454" t="s">
        <v>191</v>
      </c>
      <c r="B352" s="454" t="s">
        <v>835</v>
      </c>
    </row>
    <row r="353" spans="1:3">
      <c r="A353" s="454" t="s">
        <v>191</v>
      </c>
      <c r="B353" s="454" t="s">
        <v>837</v>
      </c>
    </row>
    <row r="354" spans="1:3">
      <c r="A354" s="454" t="s">
        <v>191</v>
      </c>
      <c r="B354" s="454" t="s">
        <v>839</v>
      </c>
    </row>
    <row r="355" spans="1:3">
      <c r="A355" s="454" t="s">
        <v>191</v>
      </c>
      <c r="B355" s="454" t="s">
        <v>841</v>
      </c>
    </row>
    <row r="356" spans="1:3">
      <c r="A356" s="454" t="s">
        <v>191</v>
      </c>
      <c r="B356" s="454" t="s">
        <v>843</v>
      </c>
    </row>
    <row r="357" spans="1:3">
      <c r="A357" s="454" t="s">
        <v>191</v>
      </c>
      <c r="B357" s="454" t="s">
        <v>845</v>
      </c>
    </row>
    <row r="358" spans="1:3">
      <c r="A358" s="454" t="s">
        <v>191</v>
      </c>
      <c r="B358" s="454" t="s">
        <v>847</v>
      </c>
    </row>
    <row r="359" spans="1:3">
      <c r="A359" s="454" t="s">
        <v>191</v>
      </c>
      <c r="B359" s="454" t="s">
        <v>849</v>
      </c>
    </row>
    <row r="360" spans="1:3">
      <c r="A360" s="454" t="s">
        <v>191</v>
      </c>
      <c r="B360" s="454" t="s">
        <v>851</v>
      </c>
    </row>
    <row r="361" spans="1:3">
      <c r="A361" s="454" t="s">
        <v>191</v>
      </c>
      <c r="B361" s="454" t="s">
        <v>853</v>
      </c>
    </row>
    <row r="362" spans="1:3">
      <c r="A362" s="454" t="s">
        <v>191</v>
      </c>
      <c r="B362" s="454" t="s">
        <v>855</v>
      </c>
      <c r="C362" s="455">
        <v>3</v>
      </c>
    </row>
    <row r="363" spans="1:3">
      <c r="A363" s="454" t="s">
        <v>191</v>
      </c>
      <c r="B363" s="454" t="s">
        <v>209</v>
      </c>
      <c r="C363" s="455">
        <v>0</v>
      </c>
    </row>
    <row r="364" spans="1:3">
      <c r="A364" s="454" t="s">
        <v>191</v>
      </c>
      <c r="B364" s="454" t="s">
        <v>491</v>
      </c>
      <c r="C364" s="455">
        <v>0</v>
      </c>
    </row>
    <row r="365" spans="1:3">
      <c r="A365" s="454" t="s">
        <v>191</v>
      </c>
      <c r="B365" s="454" t="s">
        <v>856</v>
      </c>
      <c r="C365" s="455">
        <v>0</v>
      </c>
    </row>
    <row r="366" spans="1:3">
      <c r="A366" s="454" t="s">
        <v>191</v>
      </c>
      <c r="B366" s="454" t="s">
        <v>857</v>
      </c>
      <c r="C366" s="455">
        <v>0</v>
      </c>
    </row>
    <row r="367" spans="1:3">
      <c r="A367" s="454" t="s">
        <v>191</v>
      </c>
      <c r="B367" s="454" t="s">
        <v>858</v>
      </c>
      <c r="C367" s="455">
        <v>0</v>
      </c>
    </row>
    <row r="368" spans="1:3">
      <c r="A368" s="454" t="s">
        <v>191</v>
      </c>
      <c r="B368" s="454" t="s">
        <v>859</v>
      </c>
      <c r="C368" s="455">
        <v>0</v>
      </c>
    </row>
    <row r="369" spans="1:3">
      <c r="A369" s="454" t="s">
        <v>191</v>
      </c>
      <c r="B369" s="454" t="s">
        <v>860</v>
      </c>
      <c r="C369" s="455">
        <v>0</v>
      </c>
    </row>
    <row r="370" spans="1:3">
      <c r="A370" s="454" t="s">
        <v>191</v>
      </c>
      <c r="B370" s="454" t="s">
        <v>861</v>
      </c>
      <c r="C370" s="455">
        <v>0</v>
      </c>
    </row>
    <row r="371" spans="1:3">
      <c r="A371" s="454" t="s">
        <v>191</v>
      </c>
      <c r="B371" s="454" t="s">
        <v>862</v>
      </c>
      <c r="C371" s="455">
        <v>0</v>
      </c>
    </row>
    <row r="372" spans="1:3">
      <c r="A372" s="454" t="s">
        <v>191</v>
      </c>
      <c r="B372" s="454" t="s">
        <v>863</v>
      </c>
      <c r="C372" s="455">
        <v>0</v>
      </c>
    </row>
    <row r="373" spans="1:3">
      <c r="A373" s="454" t="s">
        <v>191</v>
      </c>
      <c r="B373" s="454" t="s">
        <v>864</v>
      </c>
      <c r="C373" s="455">
        <v>0</v>
      </c>
    </row>
    <row r="374" spans="1:3">
      <c r="A374" s="454" t="s">
        <v>191</v>
      </c>
      <c r="B374" s="454" t="s">
        <v>865</v>
      </c>
      <c r="C374" s="455">
        <v>0</v>
      </c>
    </row>
    <row r="375" spans="1:3">
      <c r="A375" s="454" t="s">
        <v>191</v>
      </c>
      <c r="B375" s="454" t="s">
        <v>866</v>
      </c>
      <c r="C375" s="455">
        <v>0</v>
      </c>
    </row>
    <row r="376" spans="1:3">
      <c r="A376" s="454" t="s">
        <v>191</v>
      </c>
      <c r="B376" s="454" t="s">
        <v>867</v>
      </c>
      <c r="C376" s="455">
        <v>0</v>
      </c>
    </row>
    <row r="377" spans="1:3">
      <c r="A377" s="454" t="s">
        <v>191</v>
      </c>
      <c r="B377" s="454" t="s">
        <v>868</v>
      </c>
      <c r="C377" s="455">
        <v>0</v>
      </c>
    </row>
    <row r="378" spans="1:3">
      <c r="A378" s="454" t="s">
        <v>191</v>
      </c>
      <c r="B378" s="454" t="s">
        <v>214</v>
      </c>
      <c r="C378" s="455">
        <v>0</v>
      </c>
    </row>
    <row r="379" spans="1:3">
      <c r="A379" s="454" t="s">
        <v>191</v>
      </c>
      <c r="B379" s="454" t="s">
        <v>869</v>
      </c>
      <c r="C379" s="455">
        <v>0</v>
      </c>
    </row>
    <row r="380" spans="1:3">
      <c r="A380" s="454" t="s">
        <v>191</v>
      </c>
      <c r="B380" s="454" t="s">
        <v>620</v>
      </c>
      <c r="C380" s="455">
        <v>0</v>
      </c>
    </row>
    <row r="381" spans="1:3">
      <c r="A381" s="454" t="s">
        <v>191</v>
      </c>
      <c r="B381" s="454" t="s">
        <v>622</v>
      </c>
      <c r="C381" s="455">
        <v>0</v>
      </c>
    </row>
    <row r="382" spans="1:3">
      <c r="A382" s="454" t="s">
        <v>191</v>
      </c>
      <c r="B382" s="454" t="s">
        <v>624</v>
      </c>
      <c r="C382" s="455">
        <v>0</v>
      </c>
    </row>
    <row r="383" spans="1:3">
      <c r="A383" s="454" t="s">
        <v>191</v>
      </c>
      <c r="B383" s="454" t="s">
        <v>626</v>
      </c>
      <c r="C383" s="455">
        <v>0</v>
      </c>
    </row>
    <row r="384" spans="1:3">
      <c r="A384" s="454" t="s">
        <v>191</v>
      </c>
      <c r="B384" s="454" t="s">
        <v>628</v>
      </c>
      <c r="C384" s="455">
        <v>0</v>
      </c>
    </row>
    <row r="385" spans="1:3">
      <c r="A385" s="454" t="s">
        <v>191</v>
      </c>
      <c r="B385" s="454" t="s">
        <v>630</v>
      </c>
      <c r="C385" s="455">
        <v>0</v>
      </c>
    </row>
    <row r="386" spans="1:3">
      <c r="A386" s="454" t="s">
        <v>191</v>
      </c>
      <c r="B386" s="454" t="s">
        <v>632</v>
      </c>
      <c r="C386" s="455">
        <v>0</v>
      </c>
    </row>
    <row r="387" spans="1:3">
      <c r="A387" s="454" t="s">
        <v>191</v>
      </c>
      <c r="B387" s="454" t="s">
        <v>634</v>
      </c>
      <c r="C387" s="455">
        <v>0</v>
      </c>
    </row>
    <row r="388" spans="1:3">
      <c r="A388" s="454" t="s">
        <v>191</v>
      </c>
      <c r="B388" s="454" t="s">
        <v>636</v>
      </c>
      <c r="C388" s="455">
        <v>0</v>
      </c>
    </row>
    <row r="389" spans="1:3">
      <c r="A389" s="454" t="s">
        <v>191</v>
      </c>
      <c r="B389" s="454" t="s">
        <v>638</v>
      </c>
      <c r="C389" s="455">
        <v>0</v>
      </c>
    </row>
    <row r="390" spans="1:3">
      <c r="A390" s="454" t="s">
        <v>191</v>
      </c>
      <c r="B390" s="454" t="s">
        <v>640</v>
      </c>
      <c r="C390" s="455">
        <v>0</v>
      </c>
    </row>
    <row r="391" spans="1:3">
      <c r="A391" s="454" t="s">
        <v>191</v>
      </c>
      <c r="B391" s="454" t="s">
        <v>642</v>
      </c>
      <c r="C391" s="455">
        <v>0</v>
      </c>
    </row>
    <row r="392" spans="1:3">
      <c r="A392" s="454" t="s">
        <v>191</v>
      </c>
      <c r="B392" s="454" t="s">
        <v>644</v>
      </c>
      <c r="C392" s="455">
        <v>0</v>
      </c>
    </row>
    <row r="393" spans="1:3">
      <c r="A393" s="454" t="s">
        <v>191</v>
      </c>
      <c r="B393" s="454" t="s">
        <v>219</v>
      </c>
      <c r="C393" s="455">
        <v>0</v>
      </c>
    </row>
    <row r="394" spans="1:3">
      <c r="A394" s="454" t="s">
        <v>191</v>
      </c>
      <c r="B394" s="454" t="s">
        <v>646</v>
      </c>
      <c r="C394" s="455">
        <v>0</v>
      </c>
    </row>
    <row r="395" spans="1:3">
      <c r="A395" s="454" t="s">
        <v>191</v>
      </c>
      <c r="B395" s="454" t="s">
        <v>870</v>
      </c>
      <c r="C395" s="455">
        <v>2.9000000000000001E-2</v>
      </c>
    </row>
    <row r="396" spans="1:3">
      <c r="A396" s="454" t="s">
        <v>191</v>
      </c>
      <c r="B396" s="454" t="s">
        <v>871</v>
      </c>
      <c r="C396" s="455">
        <v>0.03</v>
      </c>
    </row>
    <row r="397" spans="1:3">
      <c r="A397" s="454" t="s">
        <v>191</v>
      </c>
      <c r="B397" s="454" t="s">
        <v>873</v>
      </c>
      <c r="C397" s="455">
        <v>4</v>
      </c>
    </row>
    <row r="398" spans="1:3">
      <c r="A398" s="454" t="s">
        <v>874</v>
      </c>
      <c r="B398" s="454" t="s">
        <v>875</v>
      </c>
      <c r="C398" s="455" t="s">
        <v>931</v>
      </c>
    </row>
    <row r="399" spans="1:3">
      <c r="A399" s="454" t="s">
        <v>874</v>
      </c>
      <c r="B399" s="454" t="s">
        <v>876</v>
      </c>
      <c r="C399" s="455" t="s">
        <v>932</v>
      </c>
    </row>
    <row r="400" spans="1:3">
      <c r="A400" s="454" t="s">
        <v>874</v>
      </c>
      <c r="B400" s="454" t="s">
        <v>877</v>
      </c>
      <c r="C400" s="455" t="s">
        <v>933</v>
      </c>
    </row>
    <row r="401" spans="1:3">
      <c r="A401" s="454" t="s">
        <v>874</v>
      </c>
      <c r="B401" s="454" t="s">
        <v>878</v>
      </c>
      <c r="C401" s="455" t="s">
        <v>934</v>
      </c>
    </row>
    <row r="402" spans="1:3">
      <c r="A402" s="454" t="s">
        <v>874</v>
      </c>
      <c r="B402" s="454" t="s">
        <v>237</v>
      </c>
    </row>
    <row r="403" spans="1:3">
      <c r="A403" s="454" t="s">
        <v>874</v>
      </c>
      <c r="B403" s="454" t="s">
        <v>243</v>
      </c>
    </row>
    <row r="404" spans="1:3">
      <c r="A404" s="454" t="s">
        <v>874</v>
      </c>
      <c r="B404" s="454" t="s">
        <v>248</v>
      </c>
    </row>
    <row r="405" spans="1:3">
      <c r="A405" s="454" t="s">
        <v>874</v>
      </c>
      <c r="B405" s="454" t="s">
        <v>255</v>
      </c>
    </row>
    <row r="406" spans="1:3">
      <c r="A406" s="454" t="s">
        <v>874</v>
      </c>
      <c r="B406" s="454" t="s">
        <v>261</v>
      </c>
    </row>
    <row r="407" spans="1:3">
      <c r="A407" s="454" t="s">
        <v>874</v>
      </c>
      <c r="B407" s="454" t="s">
        <v>879</v>
      </c>
    </row>
    <row r="408" spans="1:3">
      <c r="A408" s="454" t="s">
        <v>874</v>
      </c>
      <c r="B408" s="454" t="s">
        <v>880</v>
      </c>
    </row>
    <row r="409" spans="1:3">
      <c r="A409" s="454" t="s">
        <v>874</v>
      </c>
      <c r="B409" s="454" t="s">
        <v>881</v>
      </c>
    </row>
    <row r="410" spans="1:3">
      <c r="A410" s="454" t="s">
        <v>874</v>
      </c>
      <c r="B410" s="454" t="s">
        <v>882</v>
      </c>
    </row>
    <row r="411" spans="1:3">
      <c r="A411" s="454" t="s">
        <v>874</v>
      </c>
      <c r="B411" s="454" t="s">
        <v>883</v>
      </c>
    </row>
    <row r="412" spans="1:3">
      <c r="A412" s="454" t="s">
        <v>874</v>
      </c>
      <c r="B412" s="454" t="s">
        <v>884</v>
      </c>
    </row>
    <row r="413" spans="1:3">
      <c r="A413" s="454" t="s">
        <v>874</v>
      </c>
      <c r="B413" s="454" t="s">
        <v>268</v>
      </c>
    </row>
    <row r="414" spans="1:3">
      <c r="A414" s="454" t="s">
        <v>874</v>
      </c>
      <c r="B414" s="454" t="s">
        <v>275</v>
      </c>
    </row>
    <row r="415" spans="1:3">
      <c r="A415" s="454" t="s">
        <v>874</v>
      </c>
      <c r="B415" s="454" t="s">
        <v>282</v>
      </c>
    </row>
    <row r="416" spans="1:3">
      <c r="A416" s="454" t="s">
        <v>874</v>
      </c>
      <c r="B416" s="454" t="s">
        <v>289</v>
      </c>
    </row>
    <row r="417" spans="1:3">
      <c r="A417" s="454" t="s">
        <v>874</v>
      </c>
      <c r="B417" s="454" t="s">
        <v>296</v>
      </c>
    </row>
    <row r="418" spans="1:3">
      <c r="A418" s="454" t="s">
        <v>874</v>
      </c>
      <c r="B418" s="454" t="s">
        <v>885</v>
      </c>
    </row>
    <row r="419" spans="1:3">
      <c r="A419" s="454" t="s">
        <v>874</v>
      </c>
      <c r="B419" s="454" t="s">
        <v>886</v>
      </c>
    </row>
    <row r="420" spans="1:3">
      <c r="A420" s="454" t="s">
        <v>874</v>
      </c>
      <c r="B420" s="454" t="s">
        <v>887</v>
      </c>
    </row>
    <row r="421" spans="1:3">
      <c r="A421" s="454" t="s">
        <v>874</v>
      </c>
      <c r="B421" s="454" t="s">
        <v>888</v>
      </c>
    </row>
    <row r="422" spans="1:3">
      <c r="A422" s="454" t="s">
        <v>874</v>
      </c>
      <c r="B422" s="454" t="s">
        <v>889</v>
      </c>
    </row>
    <row r="423" spans="1:3">
      <c r="A423" s="454" t="s">
        <v>874</v>
      </c>
      <c r="B423" s="454" t="s">
        <v>890</v>
      </c>
    </row>
    <row r="424" spans="1:3">
      <c r="A424" s="454" t="s">
        <v>874</v>
      </c>
      <c r="B424" s="454" t="s">
        <v>302</v>
      </c>
    </row>
    <row r="425" spans="1:3">
      <c r="A425" s="454" t="s">
        <v>935</v>
      </c>
      <c r="B425" s="454" t="s">
        <v>936</v>
      </c>
      <c r="C425" s="455">
        <v>0.05</v>
      </c>
    </row>
    <row r="426" spans="1:3">
      <c r="A426" s="454" t="s">
        <v>935</v>
      </c>
      <c r="B426" s="454" t="s">
        <v>937</v>
      </c>
      <c r="C426" s="455">
        <v>0.04</v>
      </c>
    </row>
    <row r="427" spans="1:3">
      <c r="A427" s="454" t="s">
        <v>935</v>
      </c>
      <c r="B427" s="454" t="s">
        <v>938</v>
      </c>
      <c r="C427" s="455">
        <v>0.04</v>
      </c>
    </row>
    <row r="428" spans="1:3">
      <c r="A428" s="454" t="s">
        <v>935</v>
      </c>
      <c r="B428" s="454" t="s">
        <v>939</v>
      </c>
      <c r="C428" s="455">
        <v>0.03</v>
      </c>
    </row>
    <row r="429" spans="1:3">
      <c r="A429" s="454" t="s">
        <v>935</v>
      </c>
      <c r="B429" s="454" t="s">
        <v>940</v>
      </c>
      <c r="C429" s="455">
        <v>0.03</v>
      </c>
    </row>
    <row r="430" spans="1:3">
      <c r="A430" s="454" t="s">
        <v>935</v>
      </c>
      <c r="B430" s="454" t="s">
        <v>941</v>
      </c>
      <c r="C430" s="455">
        <v>0.03</v>
      </c>
    </row>
    <row r="431" spans="1:3">
      <c r="A431" s="454" t="s">
        <v>935</v>
      </c>
      <c r="B431" s="454" t="s">
        <v>942</v>
      </c>
      <c r="C431" s="455">
        <v>0.03</v>
      </c>
    </row>
    <row r="432" spans="1:3">
      <c r="A432" s="454" t="s">
        <v>935</v>
      </c>
      <c r="B432" s="454" t="s">
        <v>943</v>
      </c>
      <c r="C432" s="455">
        <v>0.03</v>
      </c>
    </row>
    <row r="433" spans="1:3">
      <c r="A433" s="454" t="s">
        <v>935</v>
      </c>
      <c r="B433" s="454" t="s">
        <v>944</v>
      </c>
      <c r="C433" s="455">
        <v>0.03</v>
      </c>
    </row>
    <row r="434" spans="1:3">
      <c r="A434" s="454" t="s">
        <v>935</v>
      </c>
      <c r="B434" s="454" t="s">
        <v>945</v>
      </c>
      <c r="C434" s="455">
        <v>0.02</v>
      </c>
    </row>
    <row r="435" spans="1:3">
      <c r="A435" s="454" t="s">
        <v>935</v>
      </c>
      <c r="B435" s="454" t="s">
        <v>222</v>
      </c>
      <c r="C435" s="455">
        <v>0.02</v>
      </c>
    </row>
    <row r="436" spans="1:3">
      <c r="A436" s="454" t="s">
        <v>935</v>
      </c>
      <c r="B436" s="454" t="s">
        <v>946</v>
      </c>
      <c r="C436" s="455">
        <v>0.01</v>
      </c>
    </row>
    <row r="437" spans="1:3">
      <c r="A437" s="454" t="s">
        <v>935</v>
      </c>
      <c r="B437" s="454" t="s">
        <v>947</v>
      </c>
      <c r="C437" s="455">
        <v>0.01</v>
      </c>
    </row>
    <row r="438" spans="1:3">
      <c r="A438" s="454" t="s">
        <v>935</v>
      </c>
      <c r="B438" s="454" t="s">
        <v>734</v>
      </c>
      <c r="C438" s="455">
        <v>0.01</v>
      </c>
    </row>
    <row r="439" spans="1:3">
      <c r="A439" s="454" t="s">
        <v>935</v>
      </c>
      <c r="B439" s="454" t="s">
        <v>948</v>
      </c>
      <c r="C439" s="455">
        <v>0.01</v>
      </c>
    </row>
    <row r="440" spans="1:3">
      <c r="A440" s="454" t="s">
        <v>935</v>
      </c>
      <c r="B440" s="454" t="s">
        <v>736</v>
      </c>
      <c r="C440" s="455">
        <v>0.01</v>
      </c>
    </row>
    <row r="441" spans="1:3">
      <c r="A441" s="454" t="s">
        <v>935</v>
      </c>
      <c r="B441" s="454" t="s">
        <v>949</v>
      </c>
      <c r="C441" s="455">
        <v>0.01</v>
      </c>
    </row>
    <row r="442" spans="1:3">
      <c r="A442" s="454" t="s">
        <v>935</v>
      </c>
      <c r="B442" s="454" t="s">
        <v>738</v>
      </c>
      <c r="C442" s="455">
        <v>0.01</v>
      </c>
    </row>
    <row r="443" spans="1:3">
      <c r="A443" s="454" t="s">
        <v>935</v>
      </c>
      <c r="B443" s="454" t="s">
        <v>950</v>
      </c>
      <c r="C443" s="455">
        <v>0.05</v>
      </c>
    </row>
    <row r="444" spans="1:3">
      <c r="A444" s="454" t="s">
        <v>935</v>
      </c>
      <c r="B444" s="454" t="s">
        <v>225</v>
      </c>
      <c r="C444" s="455">
        <v>0.05</v>
      </c>
    </row>
    <row r="445" spans="1:3">
      <c r="A445" s="454" t="s">
        <v>935</v>
      </c>
      <c r="B445" s="454" t="s">
        <v>951</v>
      </c>
      <c r="C445" s="455">
        <v>0.05</v>
      </c>
    </row>
    <row r="446" spans="1:3">
      <c r="A446" s="454" t="s">
        <v>935</v>
      </c>
      <c r="B446" s="454" t="s">
        <v>952</v>
      </c>
      <c r="C446" s="455">
        <v>0.03</v>
      </c>
    </row>
    <row r="447" spans="1:3">
      <c r="A447" s="454" t="s">
        <v>935</v>
      </c>
      <c r="B447" s="454" t="s">
        <v>735</v>
      </c>
      <c r="C447" s="455">
        <v>0.03</v>
      </c>
    </row>
    <row r="448" spans="1:3">
      <c r="A448" s="454" t="s">
        <v>935</v>
      </c>
      <c r="B448" s="454" t="s">
        <v>953</v>
      </c>
      <c r="C448" s="455">
        <v>0.03</v>
      </c>
    </row>
    <row r="449" spans="1:3">
      <c r="A449" s="454" t="s">
        <v>935</v>
      </c>
      <c r="B449" s="454" t="s">
        <v>737</v>
      </c>
      <c r="C449" s="455">
        <v>0.03</v>
      </c>
    </row>
    <row r="450" spans="1:3">
      <c r="A450" s="454" t="s">
        <v>935</v>
      </c>
      <c r="B450" s="454" t="s">
        <v>954</v>
      </c>
      <c r="C450" s="455">
        <v>0.03</v>
      </c>
    </row>
    <row r="451" spans="1:3">
      <c r="A451" s="454" t="s">
        <v>935</v>
      </c>
      <c r="B451" s="454" t="s">
        <v>739</v>
      </c>
      <c r="C451" s="455">
        <v>0.03</v>
      </c>
    </row>
    <row r="452" spans="1:3">
      <c r="A452" s="454" t="s">
        <v>935</v>
      </c>
      <c r="B452" s="454" t="s">
        <v>224</v>
      </c>
      <c r="C452" s="455">
        <v>1E-3</v>
      </c>
    </row>
    <row r="453" spans="1:3">
      <c r="A453" s="454" t="s">
        <v>935</v>
      </c>
      <c r="B453" s="454" t="s">
        <v>220</v>
      </c>
      <c r="C453" s="455">
        <v>1E-3</v>
      </c>
    </row>
    <row r="454" spans="1:3">
      <c r="A454" s="454" t="s">
        <v>935</v>
      </c>
      <c r="B454" s="454" t="s">
        <v>244</v>
      </c>
      <c r="C454" s="455">
        <v>1E-3</v>
      </c>
    </row>
    <row r="455" spans="1:3">
      <c r="A455" s="454" t="s">
        <v>935</v>
      </c>
      <c r="B455" s="454" t="s">
        <v>245</v>
      </c>
      <c r="C455" s="455">
        <v>1E-3</v>
      </c>
    </row>
    <row r="456" spans="1:3">
      <c r="A456" s="454" t="s">
        <v>935</v>
      </c>
      <c r="B456" s="454" t="s">
        <v>246</v>
      </c>
      <c r="C456" s="455">
        <v>1E-3</v>
      </c>
    </row>
    <row r="457" spans="1:3">
      <c r="A457" s="454" t="s">
        <v>935</v>
      </c>
      <c r="B457" s="454" t="s">
        <v>955</v>
      </c>
      <c r="C457" s="455">
        <v>1E-3</v>
      </c>
    </row>
    <row r="458" spans="1:3">
      <c r="A458" s="454" t="s">
        <v>935</v>
      </c>
      <c r="B458" s="454" t="s">
        <v>744</v>
      </c>
      <c r="C458" s="455">
        <v>1E-3</v>
      </c>
    </row>
    <row r="459" spans="1:3">
      <c r="A459" s="454" t="s">
        <v>935</v>
      </c>
      <c r="B459" s="454" t="s">
        <v>956</v>
      </c>
      <c r="C459" s="455">
        <v>1E-3</v>
      </c>
    </row>
    <row r="460" spans="1:3">
      <c r="A460" s="454" t="s">
        <v>935</v>
      </c>
      <c r="B460" s="454" t="s">
        <v>745</v>
      </c>
      <c r="C460" s="455">
        <v>1E-3</v>
      </c>
    </row>
    <row r="461" spans="1:3">
      <c r="A461" s="454" t="s">
        <v>935</v>
      </c>
      <c r="B461" s="454" t="s">
        <v>249</v>
      </c>
      <c r="C461" s="455">
        <v>3.0000000000000001E-3</v>
      </c>
    </row>
    <row r="462" spans="1:3">
      <c r="A462" s="454" t="s">
        <v>935</v>
      </c>
      <c r="B462" s="454" t="s">
        <v>250</v>
      </c>
      <c r="C462" s="455">
        <v>3.0000000000000001E-3</v>
      </c>
    </row>
    <row r="463" spans="1:3">
      <c r="A463" s="454" t="s">
        <v>935</v>
      </c>
      <c r="B463" s="454" t="s">
        <v>251</v>
      </c>
      <c r="C463" s="455">
        <v>3.0000000000000001E-3</v>
      </c>
    </row>
    <row r="464" spans="1:3">
      <c r="A464" s="454" t="s">
        <v>935</v>
      </c>
      <c r="B464" s="454" t="s">
        <v>252</v>
      </c>
      <c r="C464" s="455">
        <v>3.0000000000000001E-3</v>
      </c>
    </row>
    <row r="465" spans="1:3">
      <c r="A465" s="454" t="s">
        <v>935</v>
      </c>
      <c r="B465" s="454" t="s">
        <v>253</v>
      </c>
      <c r="C465" s="455">
        <v>3.0000000000000001E-3</v>
      </c>
    </row>
    <row r="466" spans="1:3">
      <c r="A466" s="454" t="s">
        <v>935</v>
      </c>
      <c r="B466" s="454" t="s">
        <v>957</v>
      </c>
      <c r="C466" s="455">
        <v>3.0000000000000001E-3</v>
      </c>
    </row>
    <row r="467" spans="1:3">
      <c r="A467" s="454" t="s">
        <v>935</v>
      </c>
      <c r="B467" s="454" t="s">
        <v>958</v>
      </c>
      <c r="C467" s="455">
        <v>3.0000000000000001E-3</v>
      </c>
    </row>
    <row r="468" spans="1:3">
      <c r="A468" s="454" t="s">
        <v>935</v>
      </c>
      <c r="B468" s="454" t="s">
        <v>959</v>
      </c>
      <c r="C468" s="455">
        <v>3.0000000000000001E-3</v>
      </c>
    </row>
    <row r="469" spans="1:3">
      <c r="A469" s="454" t="s">
        <v>935</v>
      </c>
      <c r="B469" s="454" t="s">
        <v>960</v>
      </c>
      <c r="C469" s="455">
        <v>3.0000000000000001E-3</v>
      </c>
    </row>
    <row r="470" spans="1:3">
      <c r="A470" s="454" t="s">
        <v>935</v>
      </c>
      <c r="B470" s="454" t="s">
        <v>226</v>
      </c>
      <c r="C470" s="455">
        <v>1E-3</v>
      </c>
    </row>
    <row r="471" spans="1:3">
      <c r="A471" s="454" t="s">
        <v>935</v>
      </c>
      <c r="B471" s="454" t="s">
        <v>256</v>
      </c>
      <c r="C471" s="455">
        <v>1E-3</v>
      </c>
    </row>
    <row r="472" spans="1:3">
      <c r="A472" s="454" t="s">
        <v>935</v>
      </c>
      <c r="B472" s="454" t="s">
        <v>257</v>
      </c>
      <c r="C472" s="455">
        <v>1E-3</v>
      </c>
    </row>
    <row r="473" spans="1:3">
      <c r="A473" s="454" t="s">
        <v>935</v>
      </c>
      <c r="B473" s="454" t="s">
        <v>258</v>
      </c>
      <c r="C473" s="455">
        <v>1E-3</v>
      </c>
    </row>
    <row r="474" spans="1:3">
      <c r="A474" s="454" t="s">
        <v>935</v>
      </c>
      <c r="B474" s="454" t="s">
        <v>259</v>
      </c>
      <c r="C474" s="455">
        <v>1E-3</v>
      </c>
    </row>
    <row r="475" spans="1:3">
      <c r="A475" s="454" t="s">
        <v>935</v>
      </c>
      <c r="B475" s="454" t="s">
        <v>961</v>
      </c>
      <c r="C475" s="455">
        <v>1E-3</v>
      </c>
    </row>
    <row r="476" spans="1:3">
      <c r="A476" s="454" t="s">
        <v>935</v>
      </c>
      <c r="B476" s="454" t="s">
        <v>753</v>
      </c>
      <c r="C476" s="455">
        <v>1E-3</v>
      </c>
    </row>
    <row r="477" spans="1:3">
      <c r="A477" s="454" t="s">
        <v>935</v>
      </c>
      <c r="B477" s="454" t="s">
        <v>962</v>
      </c>
      <c r="C477" s="455">
        <v>1E-3</v>
      </c>
    </row>
    <row r="478" spans="1:3">
      <c r="A478" s="454" t="s">
        <v>935</v>
      </c>
      <c r="B478" s="454" t="s">
        <v>756</v>
      </c>
      <c r="C478" s="455">
        <v>1E-3</v>
      </c>
    </row>
    <row r="479" spans="1:3">
      <c r="A479" s="454" t="s">
        <v>935</v>
      </c>
      <c r="B479" s="454" t="s">
        <v>228</v>
      </c>
      <c r="C479" s="455">
        <v>0.02</v>
      </c>
    </row>
    <row r="480" spans="1:3">
      <c r="A480" s="454" t="s">
        <v>935</v>
      </c>
      <c r="B480" s="454" t="s">
        <v>963</v>
      </c>
      <c r="C480" s="455">
        <v>0.02</v>
      </c>
    </row>
    <row r="481" spans="1:3">
      <c r="A481" s="454" t="s">
        <v>935</v>
      </c>
      <c r="B481" s="454" t="s">
        <v>423</v>
      </c>
      <c r="C481" s="455">
        <v>0.02</v>
      </c>
    </row>
    <row r="482" spans="1:3">
      <c r="A482" s="454" t="s">
        <v>935</v>
      </c>
      <c r="B482" s="454" t="s">
        <v>424</v>
      </c>
      <c r="C482" s="455">
        <v>0.02</v>
      </c>
    </row>
    <row r="483" spans="1:3">
      <c r="A483" s="454" t="s">
        <v>935</v>
      </c>
      <c r="B483" s="454" t="s">
        <v>425</v>
      </c>
      <c r="C483" s="455">
        <v>0.02</v>
      </c>
    </row>
    <row r="484" spans="1:3">
      <c r="A484" s="454" t="s">
        <v>935</v>
      </c>
      <c r="B484" s="454" t="s">
        <v>426</v>
      </c>
      <c r="C484" s="455">
        <v>0.02</v>
      </c>
    </row>
    <row r="485" spans="1:3">
      <c r="A485" s="454" t="s">
        <v>935</v>
      </c>
      <c r="B485" s="454" t="s">
        <v>755</v>
      </c>
      <c r="C485" s="455">
        <v>0.02</v>
      </c>
    </row>
    <row r="486" spans="1:3">
      <c r="A486" s="454" t="s">
        <v>935</v>
      </c>
      <c r="B486" s="454" t="s">
        <v>597</v>
      </c>
      <c r="C486" s="455">
        <v>0.02</v>
      </c>
    </row>
    <row r="487" spans="1:3">
      <c r="A487" s="454" t="s">
        <v>935</v>
      </c>
      <c r="B487" s="454" t="s">
        <v>598</v>
      </c>
      <c r="C487" s="455">
        <v>0.02</v>
      </c>
    </row>
    <row r="488" spans="1:3">
      <c r="A488" s="454" t="s">
        <v>935</v>
      </c>
      <c r="B488" s="454" t="s">
        <v>230</v>
      </c>
      <c r="C488" s="455">
        <v>0.03</v>
      </c>
    </row>
    <row r="489" spans="1:3">
      <c r="A489" s="454" t="s">
        <v>935</v>
      </c>
      <c r="B489" s="454" t="s">
        <v>964</v>
      </c>
      <c r="C489" s="455">
        <v>0.03</v>
      </c>
    </row>
    <row r="490" spans="1:3">
      <c r="A490" s="454" t="s">
        <v>935</v>
      </c>
      <c r="B490" s="454" t="s">
        <v>435</v>
      </c>
      <c r="C490" s="455">
        <v>0.03</v>
      </c>
    </row>
    <row r="491" spans="1:3">
      <c r="A491" s="454" t="s">
        <v>935</v>
      </c>
      <c r="B491" s="454" t="s">
        <v>436</v>
      </c>
      <c r="C491" s="455">
        <v>0.03</v>
      </c>
    </row>
    <row r="492" spans="1:3">
      <c r="A492" s="454" t="s">
        <v>935</v>
      </c>
      <c r="B492" s="454" t="s">
        <v>437</v>
      </c>
      <c r="C492" s="455">
        <v>0.03</v>
      </c>
    </row>
    <row r="493" spans="1:3">
      <c r="A493" s="454" t="s">
        <v>935</v>
      </c>
      <c r="B493" s="454" t="s">
        <v>438</v>
      </c>
      <c r="C493" s="455">
        <v>0.03</v>
      </c>
    </row>
    <row r="494" spans="1:3">
      <c r="A494" s="454" t="s">
        <v>935</v>
      </c>
      <c r="B494" s="454" t="s">
        <v>965</v>
      </c>
      <c r="C494" s="455">
        <v>0.03</v>
      </c>
    </row>
    <row r="495" spans="1:3">
      <c r="A495" s="454" t="s">
        <v>935</v>
      </c>
      <c r="B495" s="454" t="s">
        <v>603</v>
      </c>
      <c r="C495" s="455">
        <v>0.03</v>
      </c>
    </row>
    <row r="496" spans="1:3">
      <c r="A496" s="454" t="s">
        <v>935</v>
      </c>
      <c r="B496" s="454" t="s">
        <v>604</v>
      </c>
      <c r="C496" s="455">
        <v>0.03</v>
      </c>
    </row>
    <row r="497" spans="1:3">
      <c r="A497" s="454" t="s">
        <v>935</v>
      </c>
      <c r="B497" s="454" t="s">
        <v>231</v>
      </c>
      <c r="C497" s="455">
        <v>0.02</v>
      </c>
    </row>
    <row r="498" spans="1:3">
      <c r="A498" s="454" t="s">
        <v>935</v>
      </c>
      <c r="B498" s="454" t="s">
        <v>966</v>
      </c>
      <c r="C498" s="455">
        <v>0.02</v>
      </c>
    </row>
    <row r="499" spans="1:3">
      <c r="A499" s="454" t="s">
        <v>935</v>
      </c>
      <c r="B499" s="454" t="s">
        <v>439</v>
      </c>
      <c r="C499" s="455">
        <v>0.02</v>
      </c>
    </row>
    <row r="500" spans="1:3">
      <c r="A500" s="454" t="s">
        <v>935</v>
      </c>
      <c r="B500" s="454" t="s">
        <v>440</v>
      </c>
      <c r="C500" s="455">
        <v>0.02</v>
      </c>
    </row>
    <row r="501" spans="1:3">
      <c r="A501" s="454" t="s">
        <v>935</v>
      </c>
      <c r="B501" s="454" t="s">
        <v>441</v>
      </c>
      <c r="C501" s="455">
        <v>0.02</v>
      </c>
    </row>
    <row r="502" spans="1:3">
      <c r="A502" s="454" t="s">
        <v>935</v>
      </c>
      <c r="B502" s="454" t="s">
        <v>442</v>
      </c>
      <c r="C502" s="455">
        <v>0.02</v>
      </c>
    </row>
    <row r="503" spans="1:3">
      <c r="A503" s="454" t="s">
        <v>935</v>
      </c>
      <c r="B503" s="454" t="s">
        <v>967</v>
      </c>
      <c r="C503" s="455">
        <v>0.02</v>
      </c>
    </row>
    <row r="504" spans="1:3">
      <c r="A504" s="454" t="s">
        <v>935</v>
      </c>
      <c r="B504" s="454" t="s">
        <v>605</v>
      </c>
      <c r="C504" s="455">
        <v>0.02</v>
      </c>
    </row>
    <row r="505" spans="1:3">
      <c r="A505" s="454" t="s">
        <v>935</v>
      </c>
      <c r="B505" s="454" t="s">
        <v>606</v>
      </c>
      <c r="C505" s="455">
        <v>0.02</v>
      </c>
    </row>
    <row r="506" spans="1:3">
      <c r="A506" s="454" t="s">
        <v>935</v>
      </c>
      <c r="B506" s="454" t="s">
        <v>770</v>
      </c>
      <c r="C506" s="455">
        <v>0.03</v>
      </c>
    </row>
    <row r="507" spans="1:3">
      <c r="A507" s="454" t="s">
        <v>935</v>
      </c>
      <c r="B507" s="454" t="s">
        <v>968</v>
      </c>
      <c r="C507" s="455">
        <v>0.03</v>
      </c>
    </row>
    <row r="508" spans="1:3">
      <c r="A508" s="454" t="s">
        <v>935</v>
      </c>
      <c r="B508" s="454" t="s">
        <v>443</v>
      </c>
      <c r="C508" s="455">
        <v>0.03</v>
      </c>
    </row>
    <row r="509" spans="1:3">
      <c r="A509" s="454" t="s">
        <v>935</v>
      </c>
      <c r="B509" s="454" t="s">
        <v>444</v>
      </c>
      <c r="C509" s="455">
        <v>0.03</v>
      </c>
    </row>
    <row r="510" spans="1:3">
      <c r="A510" s="454" t="s">
        <v>935</v>
      </c>
      <c r="B510" s="454" t="s">
        <v>445</v>
      </c>
      <c r="C510" s="455">
        <v>0.03</v>
      </c>
    </row>
    <row r="511" spans="1:3">
      <c r="A511" s="454" t="s">
        <v>935</v>
      </c>
      <c r="B511" s="454" t="s">
        <v>446</v>
      </c>
      <c r="C511" s="455">
        <v>0.03</v>
      </c>
    </row>
    <row r="512" spans="1:3">
      <c r="A512" s="454" t="s">
        <v>935</v>
      </c>
      <c r="B512" s="454" t="s">
        <v>773</v>
      </c>
      <c r="C512" s="455">
        <v>0.03</v>
      </c>
    </row>
    <row r="513" spans="1:3">
      <c r="A513" s="454" t="s">
        <v>935</v>
      </c>
      <c r="B513" s="454" t="s">
        <v>607</v>
      </c>
      <c r="C513" s="455">
        <v>0.03</v>
      </c>
    </row>
    <row r="514" spans="1:3">
      <c r="A514" s="454" t="s">
        <v>935</v>
      </c>
      <c r="B514" s="454" t="s">
        <v>608</v>
      </c>
      <c r="C514" s="455">
        <v>0.03</v>
      </c>
    </row>
    <row r="515" spans="1:3">
      <c r="A515" s="454" t="s">
        <v>935</v>
      </c>
      <c r="B515" s="454" t="s">
        <v>269</v>
      </c>
      <c r="C515" s="455">
        <v>0.03</v>
      </c>
    </row>
    <row r="516" spans="1:3">
      <c r="A516" s="454" t="s">
        <v>935</v>
      </c>
      <c r="B516" s="454" t="s">
        <v>270</v>
      </c>
      <c r="C516" s="455">
        <v>0.03</v>
      </c>
    </row>
    <row r="517" spans="1:3">
      <c r="A517" s="454" t="s">
        <v>935</v>
      </c>
      <c r="B517" s="454" t="s">
        <v>271</v>
      </c>
      <c r="C517" s="455">
        <v>0.03</v>
      </c>
    </row>
    <row r="518" spans="1:3">
      <c r="A518" s="454" t="s">
        <v>935</v>
      </c>
      <c r="B518" s="454" t="s">
        <v>272</v>
      </c>
      <c r="C518" s="455">
        <v>0.03</v>
      </c>
    </row>
    <row r="519" spans="1:3">
      <c r="A519" s="454" t="s">
        <v>935</v>
      </c>
      <c r="B519" s="454" t="s">
        <v>273</v>
      </c>
      <c r="C519" s="455">
        <v>0.03</v>
      </c>
    </row>
    <row r="520" spans="1:3">
      <c r="A520" s="454" t="s">
        <v>935</v>
      </c>
      <c r="B520" s="454" t="s">
        <v>447</v>
      </c>
      <c r="C520" s="455">
        <v>0.03</v>
      </c>
    </row>
    <row r="521" spans="1:3">
      <c r="A521" s="454" t="s">
        <v>935</v>
      </c>
      <c r="B521" s="454" t="s">
        <v>774</v>
      </c>
      <c r="C521" s="455">
        <v>0.03</v>
      </c>
    </row>
    <row r="522" spans="1:3">
      <c r="A522" s="454" t="s">
        <v>935</v>
      </c>
      <c r="B522" s="454" t="s">
        <v>609</v>
      </c>
      <c r="C522" s="455">
        <v>0.03</v>
      </c>
    </row>
    <row r="523" spans="1:3">
      <c r="A523" s="454" t="s">
        <v>935</v>
      </c>
      <c r="B523" s="454" t="s">
        <v>610</v>
      </c>
      <c r="C523" s="455">
        <v>0.03</v>
      </c>
    </row>
    <row r="524" spans="1:3">
      <c r="A524" s="454" t="s">
        <v>217</v>
      </c>
      <c r="B524" s="454" t="s">
        <v>891</v>
      </c>
      <c r="C524" s="455">
        <v>100000</v>
      </c>
    </row>
    <row r="525" spans="1:3">
      <c r="A525" s="454" t="s">
        <v>217</v>
      </c>
      <c r="B525" s="454" t="s">
        <v>408</v>
      </c>
      <c r="C525" s="455" t="s">
        <v>969</v>
      </c>
    </row>
    <row r="526" spans="1:3">
      <c r="A526" s="454" t="s">
        <v>217</v>
      </c>
      <c r="B526" s="454" t="s">
        <v>409</v>
      </c>
      <c r="C526" s="455" t="s">
        <v>970</v>
      </c>
    </row>
    <row r="527" spans="1:3">
      <c r="A527" s="454" t="s">
        <v>217</v>
      </c>
      <c r="B527" s="454" t="s">
        <v>892</v>
      </c>
      <c r="C527" s="455" t="s">
        <v>971</v>
      </c>
    </row>
    <row r="528" spans="1:3">
      <c r="A528" s="454" t="s">
        <v>217</v>
      </c>
      <c r="B528" s="454" t="s">
        <v>410</v>
      </c>
      <c r="C528" s="455" t="s">
        <v>972</v>
      </c>
    </row>
    <row r="529" spans="1:3">
      <c r="A529" s="454" t="s">
        <v>217</v>
      </c>
      <c r="B529" s="454" t="s">
        <v>893</v>
      </c>
      <c r="C529" s="455" t="s">
        <v>973</v>
      </c>
    </row>
    <row r="530" spans="1:3">
      <c r="A530" s="454" t="s">
        <v>217</v>
      </c>
      <c r="B530" s="454" t="s">
        <v>411</v>
      </c>
      <c r="C530" s="455">
        <v>21000000</v>
      </c>
    </row>
    <row r="531" spans="1:3">
      <c r="A531" s="454" t="s">
        <v>217</v>
      </c>
      <c r="B531" s="454" t="s">
        <v>441</v>
      </c>
      <c r="C531" s="455">
        <v>0.7</v>
      </c>
    </row>
    <row r="532" spans="1:3">
      <c r="A532" s="454" t="s">
        <v>217</v>
      </c>
      <c r="B532" s="454" t="s">
        <v>287</v>
      </c>
      <c r="C532" s="455">
        <v>0.05</v>
      </c>
    </row>
    <row r="533" spans="1:3">
      <c r="A533" s="454" t="s">
        <v>217</v>
      </c>
      <c r="B533" s="454" t="s">
        <v>294</v>
      </c>
      <c r="C533" s="455">
        <v>30</v>
      </c>
    </row>
    <row r="534" spans="1:3">
      <c r="A534" s="454" t="s">
        <v>217</v>
      </c>
      <c r="B534" s="454" t="s">
        <v>300</v>
      </c>
      <c r="C534" s="455">
        <v>10</v>
      </c>
    </row>
    <row r="535" spans="1:3">
      <c r="A535" s="454" t="s">
        <v>217</v>
      </c>
      <c r="B535" s="454" t="s">
        <v>281</v>
      </c>
      <c r="C535" s="455">
        <v>4.4999999999999998E-2</v>
      </c>
    </row>
    <row r="536" spans="1:3">
      <c r="A536" s="454" t="s">
        <v>217</v>
      </c>
      <c r="B536" s="454" t="s">
        <v>288</v>
      </c>
      <c r="C536" s="455">
        <v>30</v>
      </c>
    </row>
    <row r="537" spans="1:3">
      <c r="A537" s="454" t="s">
        <v>217</v>
      </c>
      <c r="B537" s="454" t="s">
        <v>295</v>
      </c>
      <c r="C537" s="455">
        <v>10</v>
      </c>
    </row>
    <row r="538" spans="1:3">
      <c r="A538" s="454" t="s">
        <v>217</v>
      </c>
      <c r="B538" s="454" t="s">
        <v>414</v>
      </c>
      <c r="C538" s="455">
        <v>1200000</v>
      </c>
    </row>
    <row r="539" spans="1:3">
      <c r="A539" s="454" t="s">
        <v>217</v>
      </c>
      <c r="B539" s="454" t="s">
        <v>894</v>
      </c>
      <c r="C539" s="455" t="s">
        <v>895</v>
      </c>
    </row>
    <row r="1084" spans="3:3">
      <c r="C1084" s="459"/>
    </row>
    <row r="1099" spans="3:3">
      <c r="C1099" s="459"/>
    </row>
    <row r="1104" spans="3:3">
      <c r="C1104" s="459"/>
    </row>
  </sheetData>
  <printOptions horizontalCentered="1" verticalCentered="1"/>
  <pageMargins left="0.5" right="0.5" top="1.75" bottom="0.5" header="0" footer="0"/>
  <pageSetup scale="96" fitToHeight="0" orientation="landscape" cellComments="atEnd" verticalDpi="0" r:id="rId1"/>
  <customProperties>
    <customPr name="GU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9">
    <pageSetUpPr fitToPage="1"/>
  </sheetPr>
  <dimension ref="A1:H1056"/>
  <sheetViews>
    <sheetView workbookViewId="0">
      <pane ySplit="1" topLeftCell="A2" activePane="bottomLeft" state="frozen"/>
      <selection pane="bottomLeft" activeCell="F16" sqref="F16"/>
    </sheetView>
  </sheetViews>
  <sheetFormatPr defaultColWidth="9.140625" defaultRowHeight="15"/>
  <cols>
    <col min="1" max="1" width="23.42578125" style="454" customWidth="1"/>
    <col min="2" max="2" width="7.5703125" style="454" customWidth="1"/>
    <col min="3" max="3" width="14.42578125" style="455" customWidth="1"/>
    <col min="4" max="4" width="13.42578125" style="454" customWidth="1"/>
    <col min="5" max="5" width="24.5703125" style="454" customWidth="1"/>
    <col min="6" max="6" width="6" style="454" customWidth="1"/>
    <col min="7" max="7" width="11.5703125" style="455" customWidth="1"/>
    <col min="8" max="8" width="24.85546875" style="454" customWidth="1"/>
    <col min="9" max="16384" width="9.140625" style="454"/>
  </cols>
  <sheetData>
    <row r="1" spans="1:8">
      <c r="A1" s="453" t="s">
        <v>146</v>
      </c>
      <c r="B1" s="453" t="s">
        <v>147</v>
      </c>
      <c r="C1" s="457" t="s">
        <v>148</v>
      </c>
      <c r="E1" s="453" t="s">
        <v>146</v>
      </c>
      <c r="F1" s="453" t="s">
        <v>147</v>
      </c>
      <c r="G1" s="457" t="s">
        <v>148</v>
      </c>
      <c r="H1" s="453" t="s">
        <v>149</v>
      </c>
    </row>
    <row r="2" spans="1:8">
      <c r="A2" s="454" t="s">
        <v>150</v>
      </c>
      <c r="B2" s="454" t="s">
        <v>151</v>
      </c>
      <c r="C2" s="455" t="s">
        <v>896</v>
      </c>
      <c r="E2" s="454" t="s">
        <v>150</v>
      </c>
      <c r="F2" s="454" t="s">
        <v>152</v>
      </c>
      <c r="G2" s="455" t="s">
        <v>153</v>
      </c>
      <c r="H2" s="454" t="str">
        <f t="shared" ref="H2:H14" si="0">E2&amp;"!"&amp;F2</f>
        <v>Input!B10</v>
      </c>
    </row>
    <row r="3" spans="1:8">
      <c r="A3" s="454" t="s">
        <v>150</v>
      </c>
      <c r="B3" s="454" t="s">
        <v>154</v>
      </c>
      <c r="C3" s="455">
        <v>18000000</v>
      </c>
      <c r="E3" s="454" t="s">
        <v>150</v>
      </c>
      <c r="F3" s="454" t="s">
        <v>155</v>
      </c>
      <c r="G3" s="455" t="s">
        <v>156</v>
      </c>
      <c r="H3" s="454" t="str">
        <f t="shared" si="0"/>
        <v>Input!B16</v>
      </c>
    </row>
    <row r="4" spans="1:8">
      <c r="A4" s="454" t="s">
        <v>150</v>
      </c>
      <c r="B4" s="454" t="s">
        <v>157</v>
      </c>
      <c r="C4" s="455">
        <v>42522</v>
      </c>
      <c r="E4" s="454" t="s">
        <v>150</v>
      </c>
      <c r="F4" s="454" t="s">
        <v>158</v>
      </c>
      <c r="G4" s="455" t="s">
        <v>126</v>
      </c>
      <c r="H4" s="454" t="str">
        <f t="shared" si="0"/>
        <v>Input!B17</v>
      </c>
    </row>
    <row r="5" spans="1:8">
      <c r="A5" s="454" t="s">
        <v>150</v>
      </c>
      <c r="B5" s="454" t="s">
        <v>159</v>
      </c>
      <c r="C5" s="455" t="s">
        <v>898</v>
      </c>
      <c r="E5" s="454" t="s">
        <v>150</v>
      </c>
      <c r="F5" s="454" t="s">
        <v>160</v>
      </c>
      <c r="G5" s="455">
        <v>60</v>
      </c>
      <c r="H5" s="454" t="str">
        <f t="shared" si="0"/>
        <v>Input!B18</v>
      </c>
    </row>
    <row r="6" spans="1:8">
      <c r="A6" s="454" t="s">
        <v>150</v>
      </c>
      <c r="B6" s="454" t="s">
        <v>161</v>
      </c>
      <c r="C6" s="455">
        <v>0.86000918273645499</v>
      </c>
      <c r="E6" s="454" t="s">
        <v>150</v>
      </c>
      <c r="F6" s="454" t="s">
        <v>184</v>
      </c>
      <c r="G6" s="455" t="s">
        <v>87</v>
      </c>
      <c r="H6" s="454" t="str">
        <f t="shared" si="0"/>
        <v>Input!B28</v>
      </c>
    </row>
    <row r="7" spans="1:8">
      <c r="A7" s="454" t="s">
        <v>150</v>
      </c>
      <c r="B7" s="454" t="s">
        <v>163</v>
      </c>
      <c r="C7" s="455">
        <v>42522</v>
      </c>
      <c r="E7" s="454" t="s">
        <v>150</v>
      </c>
      <c r="F7" s="454" t="s">
        <v>162</v>
      </c>
      <c r="G7" s="455" t="s">
        <v>126</v>
      </c>
      <c r="H7" s="454" t="str">
        <f t="shared" si="0"/>
        <v>Input!B30</v>
      </c>
    </row>
    <row r="8" spans="1:8">
      <c r="A8" s="454" t="s">
        <v>150</v>
      </c>
      <c r="B8" s="454" t="s">
        <v>165</v>
      </c>
      <c r="C8" s="455">
        <v>57</v>
      </c>
      <c r="E8" s="454" t="s">
        <v>150</v>
      </c>
      <c r="F8" s="454" t="s">
        <v>164</v>
      </c>
      <c r="G8" s="455" t="s">
        <v>126</v>
      </c>
      <c r="H8" s="454" t="str">
        <f t="shared" si="0"/>
        <v>Input!B36</v>
      </c>
    </row>
    <row r="9" spans="1:8">
      <c r="A9" s="454" t="s">
        <v>150</v>
      </c>
      <c r="B9" s="454" t="s">
        <v>168</v>
      </c>
      <c r="C9" s="455">
        <v>0.05</v>
      </c>
      <c r="E9" s="454" t="s">
        <v>150</v>
      </c>
      <c r="F9" s="454" t="s">
        <v>166</v>
      </c>
      <c r="G9" s="455" t="s">
        <v>899</v>
      </c>
      <c r="H9" s="454" t="str">
        <f t="shared" si="0"/>
        <v>Input!B39</v>
      </c>
    </row>
    <row r="10" spans="1:8">
      <c r="A10" s="454" t="s">
        <v>150</v>
      </c>
      <c r="B10" s="454" t="s">
        <v>170</v>
      </c>
      <c r="E10" s="454" t="s">
        <v>150</v>
      </c>
      <c r="F10" s="454" t="s">
        <v>169</v>
      </c>
      <c r="G10" s="455" t="s">
        <v>126</v>
      </c>
      <c r="H10" s="454" t="str">
        <f t="shared" si="0"/>
        <v>Input!B40</v>
      </c>
    </row>
    <row r="11" spans="1:8">
      <c r="A11" s="454" t="s">
        <v>150</v>
      </c>
      <c r="B11" s="454" t="s">
        <v>172</v>
      </c>
      <c r="E11" s="454" t="s">
        <v>150</v>
      </c>
      <c r="F11" s="454" t="s">
        <v>171</v>
      </c>
      <c r="G11" s="455" t="s">
        <v>126</v>
      </c>
      <c r="H11" s="454" t="str">
        <f t="shared" si="0"/>
        <v>Input!B41</v>
      </c>
    </row>
    <row r="12" spans="1:8">
      <c r="A12" s="454" t="s">
        <v>150</v>
      </c>
      <c r="B12" s="454" t="s">
        <v>174</v>
      </c>
      <c r="E12" s="454" t="s">
        <v>150</v>
      </c>
      <c r="F12" s="454" t="s">
        <v>173</v>
      </c>
      <c r="G12" s="455" t="s">
        <v>140</v>
      </c>
      <c r="H12" s="454" t="str">
        <f t="shared" si="0"/>
        <v>Input!B43</v>
      </c>
    </row>
    <row r="13" spans="1:8">
      <c r="A13" s="454" t="s">
        <v>150</v>
      </c>
      <c r="B13" s="454" t="s">
        <v>176</v>
      </c>
      <c r="E13" s="454" t="s">
        <v>150</v>
      </c>
      <c r="F13" s="454" t="s">
        <v>175</v>
      </c>
      <c r="G13" s="454" t="s">
        <v>39</v>
      </c>
      <c r="H13" s="454" t="str">
        <f t="shared" si="0"/>
        <v>Input!B56</v>
      </c>
    </row>
    <row r="14" spans="1:8">
      <c r="A14" s="454" t="s">
        <v>150</v>
      </c>
      <c r="B14" s="454" t="s">
        <v>178</v>
      </c>
      <c r="E14" s="454" t="s">
        <v>150</v>
      </c>
      <c r="F14" s="454" t="s">
        <v>177</v>
      </c>
      <c r="G14" s="454" t="s">
        <v>39</v>
      </c>
      <c r="H14" s="454" t="str">
        <f t="shared" si="0"/>
        <v>Input!D41</v>
      </c>
    </row>
    <row r="15" spans="1:8">
      <c r="A15" s="454" t="s">
        <v>150</v>
      </c>
      <c r="B15" s="454" t="s">
        <v>181</v>
      </c>
      <c r="C15" s="455">
        <v>1984</v>
      </c>
      <c r="E15" s="454" t="s">
        <v>179</v>
      </c>
      <c r="F15" s="454" t="s">
        <v>180</v>
      </c>
      <c r="G15" s="455" t="s">
        <v>127</v>
      </c>
      <c r="H15" s="454" t="str">
        <f t="shared" ref="H15" si="1">E15&amp;"!"&amp;F15</f>
        <v>Rent Roll Detail Input!I8</v>
      </c>
    </row>
    <row r="16" spans="1:8">
      <c r="A16" s="454" t="s">
        <v>150</v>
      </c>
      <c r="B16" s="454" t="s">
        <v>187</v>
      </c>
      <c r="C16" s="455">
        <v>6.5000000000000002E-2</v>
      </c>
      <c r="E16" s="454" t="s">
        <v>182</v>
      </c>
      <c r="F16" s="454" t="s">
        <v>183</v>
      </c>
      <c r="G16" s="455" t="s">
        <v>127</v>
      </c>
      <c r="H16" s="454" t="str">
        <f t="shared" ref="H16" si="2">E16&amp;"!"&amp;F16</f>
        <v>Rent Roll Summary Input!R12</v>
      </c>
    </row>
    <row r="17" spans="1:8">
      <c r="A17" s="454" t="s">
        <v>150</v>
      </c>
      <c r="B17" s="454" t="s">
        <v>190</v>
      </c>
      <c r="C17" s="455">
        <v>0.02</v>
      </c>
      <c r="E17" s="454" t="s">
        <v>185</v>
      </c>
      <c r="F17" s="454" t="s">
        <v>186</v>
      </c>
      <c r="G17" s="455" t="s">
        <v>39</v>
      </c>
      <c r="H17" s="454" t="str">
        <f t="shared" ref="H17:H32" si="3">E17&amp;"!"&amp;F17</f>
        <v>Rent Roll Summary!C4</v>
      </c>
    </row>
    <row r="18" spans="1:8">
      <c r="A18" s="454" t="s">
        <v>150</v>
      </c>
      <c r="B18" s="454" t="s">
        <v>193</v>
      </c>
      <c r="C18" s="455">
        <v>200000</v>
      </c>
      <c r="E18" s="454" t="s">
        <v>185</v>
      </c>
      <c r="F18" s="454" t="s">
        <v>188</v>
      </c>
      <c r="G18" s="455" t="s">
        <v>189</v>
      </c>
      <c r="H18" s="454" t="str">
        <f t="shared" si="3"/>
        <v>Rent Roll Summary!C5</v>
      </c>
    </row>
    <row r="19" spans="1:8">
      <c r="A19" s="454" t="s">
        <v>150</v>
      </c>
      <c r="B19" s="454" t="s">
        <v>196</v>
      </c>
      <c r="C19" s="455">
        <v>10000</v>
      </c>
      <c r="E19" s="454" t="s">
        <v>191</v>
      </c>
      <c r="F19" s="454" t="s">
        <v>192</v>
      </c>
      <c r="G19" s="455">
        <v>0</v>
      </c>
      <c r="H19" s="454" t="str">
        <f t="shared" si="3"/>
        <v>Operating Statement!AA2</v>
      </c>
    </row>
    <row r="20" spans="1:8">
      <c r="A20" s="454" t="s">
        <v>150</v>
      </c>
      <c r="B20" s="454" t="s">
        <v>200</v>
      </c>
      <c r="C20" s="455">
        <v>10000</v>
      </c>
      <c r="E20" s="454" t="s">
        <v>191</v>
      </c>
      <c r="F20" s="454" t="s">
        <v>194</v>
      </c>
      <c r="G20" s="455" t="s">
        <v>195</v>
      </c>
      <c r="H20" s="454" t="str">
        <f t="shared" si="3"/>
        <v>Operating Statement!AA3</v>
      </c>
    </row>
    <row r="21" spans="1:8">
      <c r="A21" s="454" t="s">
        <v>150</v>
      </c>
      <c r="B21" s="454" t="s">
        <v>203</v>
      </c>
      <c r="C21" s="455">
        <v>10000</v>
      </c>
      <c r="E21" s="454" t="s">
        <v>197</v>
      </c>
      <c r="F21" s="454" t="s">
        <v>198</v>
      </c>
      <c r="G21" s="455" t="s">
        <v>199</v>
      </c>
      <c r="H21" s="454" t="str">
        <f t="shared" si="3"/>
        <v>Pricing Detail!V3</v>
      </c>
    </row>
    <row r="22" spans="1:8">
      <c r="A22" s="454" t="s">
        <v>150</v>
      </c>
      <c r="B22" s="454" t="s">
        <v>206</v>
      </c>
      <c r="E22" s="454" t="s">
        <v>201</v>
      </c>
      <c r="F22" s="454" t="s">
        <v>202</v>
      </c>
      <c r="G22" s="454">
        <v>5</v>
      </c>
      <c r="H22" s="454" t="str">
        <f t="shared" si="3"/>
        <v>Proposal Price IRR!Q3</v>
      </c>
    </row>
    <row r="23" spans="1:8">
      <c r="A23" s="454" t="s">
        <v>150</v>
      </c>
      <c r="B23" s="454" t="s">
        <v>209</v>
      </c>
      <c r="E23" s="454" t="s">
        <v>201</v>
      </c>
      <c r="F23" s="454" t="s">
        <v>204</v>
      </c>
      <c r="G23" s="454" t="s">
        <v>205</v>
      </c>
      <c r="H23" s="454" t="str">
        <f t="shared" si="3"/>
        <v>Proposal Price IRR!Q4</v>
      </c>
    </row>
    <row r="24" spans="1:8">
      <c r="A24" s="454" t="s">
        <v>150</v>
      </c>
      <c r="B24" s="454" t="s">
        <v>211</v>
      </c>
      <c r="E24" s="454" t="s">
        <v>207</v>
      </c>
      <c r="F24" s="454" t="s">
        <v>208</v>
      </c>
      <c r="G24" s="454">
        <v>5</v>
      </c>
      <c r="H24" s="454" t="str">
        <f t="shared" si="3"/>
        <v>Proposal Price!O3</v>
      </c>
    </row>
    <row r="25" spans="1:8">
      <c r="A25" s="454" t="s">
        <v>150</v>
      </c>
      <c r="B25" s="454" t="s">
        <v>214</v>
      </c>
      <c r="E25" s="454" t="s">
        <v>207</v>
      </c>
      <c r="F25" s="454" t="s">
        <v>210</v>
      </c>
      <c r="G25" s="454" t="s">
        <v>205</v>
      </c>
      <c r="H25" s="454" t="str">
        <f t="shared" si="3"/>
        <v>Proposal Price!O4</v>
      </c>
    </row>
    <row r="26" spans="1:8">
      <c r="A26" s="454" t="s">
        <v>150</v>
      </c>
      <c r="B26" s="454" t="s">
        <v>216</v>
      </c>
      <c r="E26" s="454" t="s">
        <v>212</v>
      </c>
      <c r="F26" s="454" t="s">
        <v>213</v>
      </c>
      <c r="G26" s="454">
        <v>5</v>
      </c>
      <c r="H26" s="454" t="str">
        <f t="shared" si="3"/>
        <v>Proposal Price IRR Unlevered!P3</v>
      </c>
    </row>
    <row r="27" spans="1:8">
      <c r="A27" s="454" t="s">
        <v>150</v>
      </c>
      <c r="B27" s="454" t="s">
        <v>219</v>
      </c>
      <c r="E27" s="454" t="s">
        <v>212</v>
      </c>
      <c r="F27" s="454" t="s">
        <v>215</v>
      </c>
      <c r="G27" s="454" t="s">
        <v>205</v>
      </c>
      <c r="H27" s="454" t="str">
        <f t="shared" si="3"/>
        <v>Proposal Price IRR Unlevered!P4</v>
      </c>
    </row>
    <row r="28" spans="1:8">
      <c r="A28" s="454" t="s">
        <v>150</v>
      </c>
      <c r="B28" s="454" t="s">
        <v>221</v>
      </c>
      <c r="E28" s="454" t="s">
        <v>217</v>
      </c>
      <c r="F28" s="454" t="s">
        <v>218</v>
      </c>
      <c r="G28" s="455" t="s">
        <v>78</v>
      </c>
      <c r="H28" s="454" t="str">
        <f t="shared" si="3"/>
        <v>Equity Returns Options!I2</v>
      </c>
    </row>
    <row r="29" spans="1:8">
      <c r="A29" s="454" t="s">
        <v>150</v>
      </c>
      <c r="B29" s="454" t="s">
        <v>900</v>
      </c>
      <c r="C29" s="455">
        <v>11000000</v>
      </c>
      <c r="E29" s="454" t="s">
        <v>217</v>
      </c>
      <c r="F29" s="454" t="s">
        <v>220</v>
      </c>
      <c r="G29" s="455" t="s">
        <v>120</v>
      </c>
      <c r="H29" s="454" t="str">
        <f t="shared" si="3"/>
        <v>Equity Returns Options!F9</v>
      </c>
    </row>
    <row r="30" spans="1:8">
      <c r="A30" s="454" t="s">
        <v>150</v>
      </c>
      <c r="B30" s="454" t="s">
        <v>901</v>
      </c>
      <c r="C30" s="455">
        <v>40330</v>
      </c>
      <c r="E30" s="454" t="s">
        <v>217</v>
      </c>
      <c r="F30" s="454" t="s">
        <v>222</v>
      </c>
      <c r="G30" s="455">
        <v>1</v>
      </c>
      <c r="H30" s="454" t="str">
        <f t="shared" si="3"/>
        <v>Equity Returns Options!F6</v>
      </c>
    </row>
    <row r="31" spans="1:8">
      <c r="A31" s="454" t="s">
        <v>150</v>
      </c>
      <c r="B31" s="454" t="s">
        <v>902</v>
      </c>
      <c r="C31" s="455">
        <v>4.8800000000000003E-2</v>
      </c>
      <c r="E31" s="454" t="s">
        <v>217</v>
      </c>
      <c r="F31" s="454" t="s">
        <v>225</v>
      </c>
      <c r="G31" s="455">
        <v>2</v>
      </c>
      <c r="H31" s="454" t="str">
        <f t="shared" si="3"/>
        <v>Equity Returns Options!F7</v>
      </c>
    </row>
    <row r="32" spans="1:8">
      <c r="A32" s="454" t="s">
        <v>150</v>
      </c>
      <c r="B32" s="454" t="s">
        <v>903</v>
      </c>
      <c r="C32" s="455">
        <v>30</v>
      </c>
      <c r="E32" s="454" t="s">
        <v>217</v>
      </c>
      <c r="F32" s="454" t="s">
        <v>227</v>
      </c>
      <c r="G32" s="455">
        <v>3</v>
      </c>
      <c r="H32" s="454" t="str">
        <f t="shared" si="3"/>
        <v>Equity Returns Options!F8</v>
      </c>
    </row>
    <row r="33" spans="1:3">
      <c r="A33" s="454" t="s">
        <v>150</v>
      </c>
      <c r="B33" s="454" t="s">
        <v>904</v>
      </c>
      <c r="C33" s="455">
        <v>10</v>
      </c>
    </row>
    <row r="34" spans="1:3">
      <c r="A34" s="454" t="s">
        <v>150</v>
      </c>
      <c r="B34" s="454" t="s">
        <v>370</v>
      </c>
      <c r="C34" s="455" t="s">
        <v>905</v>
      </c>
    </row>
    <row r="35" spans="1:3">
      <c r="A35" s="454" t="s">
        <v>150</v>
      </c>
      <c r="B35" s="454" t="s">
        <v>906</v>
      </c>
      <c r="C35" s="455">
        <v>0</v>
      </c>
    </row>
    <row r="36" spans="1:3">
      <c r="A36" s="454" t="s">
        <v>150</v>
      </c>
      <c r="B36" s="454" t="s">
        <v>907</v>
      </c>
      <c r="C36" s="455" t="s">
        <v>908</v>
      </c>
    </row>
    <row r="37" spans="1:3">
      <c r="A37" s="454" t="s">
        <v>150</v>
      </c>
      <c r="B37" s="454" t="s">
        <v>909</v>
      </c>
      <c r="C37" s="455">
        <v>0</v>
      </c>
    </row>
    <row r="38" spans="1:3">
      <c r="A38" s="454" t="s">
        <v>223</v>
      </c>
      <c r="B38" s="454" t="s">
        <v>244</v>
      </c>
      <c r="C38" s="455" t="s">
        <v>910</v>
      </c>
    </row>
    <row r="39" spans="1:3">
      <c r="A39" s="454" t="s">
        <v>223</v>
      </c>
      <c r="B39" s="454" t="s">
        <v>246</v>
      </c>
      <c r="C39" s="455" t="s">
        <v>911</v>
      </c>
    </row>
    <row r="40" spans="1:3">
      <c r="A40" s="454" t="s">
        <v>223</v>
      </c>
      <c r="B40" s="454" t="s">
        <v>253</v>
      </c>
      <c r="C40" s="455">
        <v>43831</v>
      </c>
    </row>
    <row r="41" spans="1:3">
      <c r="A41" s="454" t="s">
        <v>223</v>
      </c>
      <c r="B41" s="454" t="s">
        <v>257</v>
      </c>
      <c r="C41" s="455">
        <v>0.1</v>
      </c>
    </row>
    <row r="42" spans="1:3">
      <c r="A42" s="454" t="s">
        <v>223</v>
      </c>
      <c r="B42" s="454" t="s">
        <v>753</v>
      </c>
      <c r="C42" s="455" t="s">
        <v>912</v>
      </c>
    </row>
    <row r="43" spans="1:3">
      <c r="A43" s="454" t="s">
        <v>223</v>
      </c>
      <c r="B43" s="454" t="s">
        <v>423</v>
      </c>
      <c r="C43" s="455">
        <v>0.04</v>
      </c>
    </row>
    <row r="44" spans="1:3">
      <c r="A44" s="454" t="s">
        <v>223</v>
      </c>
      <c r="B44" s="454" t="s">
        <v>425</v>
      </c>
      <c r="C44" s="455">
        <v>4.4999999999999998E-2</v>
      </c>
    </row>
    <row r="45" spans="1:3">
      <c r="A45" s="454" t="s">
        <v>223</v>
      </c>
      <c r="B45" s="454" t="s">
        <v>429</v>
      </c>
      <c r="C45" s="455">
        <v>10</v>
      </c>
    </row>
    <row r="46" spans="1:3">
      <c r="A46" s="454" t="s">
        <v>223</v>
      </c>
      <c r="B46" s="454" t="s">
        <v>435</v>
      </c>
      <c r="C46" s="455">
        <v>0</v>
      </c>
    </row>
    <row r="47" spans="1:3">
      <c r="A47" s="454" t="s">
        <v>223</v>
      </c>
      <c r="B47" s="454" t="s">
        <v>439</v>
      </c>
      <c r="C47" s="455">
        <v>25</v>
      </c>
    </row>
    <row r="48" spans="1:3">
      <c r="A48" s="454" t="s">
        <v>223</v>
      </c>
      <c r="B48" s="454" t="s">
        <v>437</v>
      </c>
      <c r="C48" s="455">
        <v>0</v>
      </c>
    </row>
    <row r="49" spans="1:3">
      <c r="A49" s="454" t="s">
        <v>223</v>
      </c>
      <c r="B49" s="454" t="s">
        <v>441</v>
      </c>
      <c r="C49" s="455">
        <v>30</v>
      </c>
    </row>
    <row r="50" spans="1:3">
      <c r="A50" s="454" t="s">
        <v>223</v>
      </c>
      <c r="B50" s="454" t="s">
        <v>607</v>
      </c>
      <c r="C50" s="455">
        <v>6.5000000000000002E-2</v>
      </c>
    </row>
    <row r="51" spans="1:3">
      <c r="A51" s="454" t="s">
        <v>223</v>
      </c>
      <c r="B51" s="454" t="s">
        <v>232</v>
      </c>
      <c r="C51" s="455">
        <v>0</v>
      </c>
    </row>
    <row r="52" spans="1:3">
      <c r="A52" s="454" t="s">
        <v>223</v>
      </c>
      <c r="B52" s="454" t="s">
        <v>300</v>
      </c>
      <c r="C52" s="455">
        <v>0.01</v>
      </c>
    </row>
    <row r="53" spans="1:3">
      <c r="A53" s="454" t="s">
        <v>223</v>
      </c>
      <c r="B53" s="454" t="s">
        <v>298</v>
      </c>
      <c r="C53" s="455">
        <v>0.01</v>
      </c>
    </row>
    <row r="54" spans="1:3">
      <c r="A54" s="454" t="s">
        <v>223</v>
      </c>
      <c r="B54" s="454" t="s">
        <v>452</v>
      </c>
      <c r="C54" s="455">
        <v>137000</v>
      </c>
    </row>
    <row r="55" spans="1:3">
      <c r="A55" s="454" t="s">
        <v>179</v>
      </c>
      <c r="B55" s="454" t="s">
        <v>406</v>
      </c>
      <c r="C55" s="455" t="s">
        <v>235</v>
      </c>
    </row>
    <row r="56" spans="1:3">
      <c r="A56" s="454" t="s">
        <v>179</v>
      </c>
      <c r="B56" s="454" t="s">
        <v>974</v>
      </c>
    </row>
    <row r="57" spans="1:3">
      <c r="A57" s="454" t="s">
        <v>179</v>
      </c>
      <c r="B57" s="454" t="s">
        <v>407</v>
      </c>
    </row>
    <row r="58" spans="1:3">
      <c r="A58" s="454" t="s">
        <v>179</v>
      </c>
      <c r="B58" s="454" t="s">
        <v>159</v>
      </c>
      <c r="C58" s="455" t="s">
        <v>975</v>
      </c>
    </row>
    <row r="59" spans="1:3">
      <c r="A59" s="454" t="s">
        <v>179</v>
      </c>
      <c r="B59" s="454" t="s">
        <v>260</v>
      </c>
      <c r="C59" s="455" t="s">
        <v>913</v>
      </c>
    </row>
    <row r="60" spans="1:3">
      <c r="A60" s="454" t="s">
        <v>179</v>
      </c>
      <c r="B60" s="454" t="s">
        <v>408</v>
      </c>
      <c r="C60" s="455" t="s">
        <v>915</v>
      </c>
    </row>
    <row r="61" spans="1:3">
      <c r="A61" s="454" t="s">
        <v>179</v>
      </c>
      <c r="B61" s="454" t="s">
        <v>409</v>
      </c>
    </row>
    <row r="62" spans="1:3">
      <c r="A62" s="454" t="s">
        <v>179</v>
      </c>
      <c r="B62" s="454" t="s">
        <v>410</v>
      </c>
    </row>
    <row r="63" spans="1:3">
      <c r="A63" s="454" t="s">
        <v>179</v>
      </c>
      <c r="B63" s="454" t="s">
        <v>411</v>
      </c>
    </row>
    <row r="64" spans="1:3">
      <c r="A64" s="454" t="s">
        <v>179</v>
      </c>
      <c r="B64" s="454" t="s">
        <v>158</v>
      </c>
      <c r="C64" s="455" t="s">
        <v>976</v>
      </c>
    </row>
    <row r="65" spans="1:3">
      <c r="A65" s="454" t="s">
        <v>179</v>
      </c>
      <c r="B65" s="454" t="s">
        <v>412</v>
      </c>
      <c r="C65" s="455" t="s">
        <v>916</v>
      </c>
    </row>
    <row r="66" spans="1:3">
      <c r="A66" s="454" t="s">
        <v>179</v>
      </c>
      <c r="B66" s="454" t="s">
        <v>413</v>
      </c>
    </row>
    <row r="67" spans="1:3">
      <c r="A67" s="454" t="s">
        <v>179</v>
      </c>
      <c r="B67" s="454" t="s">
        <v>267</v>
      </c>
    </row>
    <row r="68" spans="1:3">
      <c r="A68" s="454" t="s">
        <v>179</v>
      </c>
      <c r="B68" s="454" t="s">
        <v>274</v>
      </c>
    </row>
    <row r="69" spans="1:3">
      <c r="A69" s="454" t="s">
        <v>179</v>
      </c>
      <c r="B69" s="454" t="s">
        <v>281</v>
      </c>
    </row>
    <row r="70" spans="1:3">
      <c r="A70" s="454" t="s">
        <v>179</v>
      </c>
      <c r="B70" s="454" t="s">
        <v>170</v>
      </c>
      <c r="C70" s="455" t="s">
        <v>977</v>
      </c>
    </row>
    <row r="71" spans="1:3">
      <c r="A71" s="454" t="s">
        <v>179</v>
      </c>
      <c r="B71" s="454" t="s">
        <v>288</v>
      </c>
      <c r="C71" s="455" t="s">
        <v>919</v>
      </c>
    </row>
    <row r="72" spans="1:3">
      <c r="A72" s="454" t="s">
        <v>179</v>
      </c>
      <c r="B72" s="454" t="s">
        <v>295</v>
      </c>
      <c r="C72" s="455" t="s">
        <v>920</v>
      </c>
    </row>
    <row r="73" spans="1:3">
      <c r="A73" s="454" t="s">
        <v>179</v>
      </c>
      <c r="B73" s="454" t="s">
        <v>414</v>
      </c>
    </row>
    <row r="74" spans="1:3">
      <c r="A74" s="454" t="s">
        <v>179</v>
      </c>
      <c r="B74" s="454" t="s">
        <v>415</v>
      </c>
    </row>
    <row r="75" spans="1:3">
      <c r="A75" s="454" t="s">
        <v>179</v>
      </c>
      <c r="B75" s="454" t="s">
        <v>416</v>
      </c>
    </row>
    <row r="76" spans="1:3">
      <c r="A76" s="454" t="s">
        <v>179</v>
      </c>
      <c r="B76" s="454" t="s">
        <v>181</v>
      </c>
      <c r="C76" s="455" t="s">
        <v>978</v>
      </c>
    </row>
    <row r="77" spans="1:3">
      <c r="A77" s="454" t="s">
        <v>179</v>
      </c>
      <c r="B77" s="454" t="s">
        <v>417</v>
      </c>
      <c r="C77" s="455" t="s">
        <v>979</v>
      </c>
    </row>
    <row r="78" spans="1:3">
      <c r="A78" s="454" t="s">
        <v>179</v>
      </c>
      <c r="B78" s="454" t="s">
        <v>418</v>
      </c>
      <c r="C78" s="455" t="s">
        <v>980</v>
      </c>
    </row>
    <row r="79" spans="1:3">
      <c r="A79" s="454" t="s">
        <v>179</v>
      </c>
      <c r="B79" s="454" t="s">
        <v>419</v>
      </c>
      <c r="C79" s="455" t="s">
        <v>981</v>
      </c>
    </row>
    <row r="80" spans="1:3">
      <c r="A80" s="454" t="s">
        <v>179</v>
      </c>
      <c r="B80" s="454" t="s">
        <v>301</v>
      </c>
      <c r="C80" s="455" t="s">
        <v>982</v>
      </c>
    </row>
    <row r="81" spans="1:3">
      <c r="A81" s="454" t="s">
        <v>179</v>
      </c>
      <c r="B81" s="454" t="s">
        <v>190</v>
      </c>
      <c r="C81" s="455" t="s">
        <v>64</v>
      </c>
    </row>
    <row r="82" spans="1:3">
      <c r="A82" s="454" t="s">
        <v>179</v>
      </c>
      <c r="B82" s="454" t="s">
        <v>315</v>
      </c>
      <c r="C82" s="455" t="s">
        <v>926</v>
      </c>
    </row>
    <row r="83" spans="1:3">
      <c r="A83" s="454" t="s">
        <v>179</v>
      </c>
      <c r="B83" s="454" t="s">
        <v>322</v>
      </c>
      <c r="C83" s="455" t="s">
        <v>927</v>
      </c>
    </row>
    <row r="84" spans="1:3">
      <c r="A84" s="454" t="s">
        <v>179</v>
      </c>
      <c r="B84" s="454" t="s">
        <v>329</v>
      </c>
      <c r="C84" s="455" t="s">
        <v>928</v>
      </c>
    </row>
    <row r="85" spans="1:3">
      <c r="A85" s="454" t="s">
        <v>179</v>
      </c>
      <c r="B85" s="454" t="s">
        <v>420</v>
      </c>
      <c r="C85" s="455" t="s">
        <v>929</v>
      </c>
    </row>
    <row r="86" spans="1:3">
      <c r="A86" s="454" t="s">
        <v>179</v>
      </c>
      <c r="B86" s="454" t="s">
        <v>421</v>
      </c>
      <c r="C86" s="455" t="s">
        <v>930</v>
      </c>
    </row>
    <row r="87" spans="1:3">
      <c r="A87" s="454" t="s">
        <v>179</v>
      </c>
      <c r="B87" s="454" t="s">
        <v>308</v>
      </c>
    </row>
    <row r="88" spans="1:3">
      <c r="A88" s="454" t="s">
        <v>179</v>
      </c>
      <c r="B88" s="454" t="s">
        <v>264</v>
      </c>
      <c r="C88" s="455">
        <v>101</v>
      </c>
    </row>
    <row r="89" spans="1:3">
      <c r="A89" s="454" t="s">
        <v>179</v>
      </c>
      <c r="B89" s="454" t="s">
        <v>265</v>
      </c>
      <c r="C89" s="455" t="s">
        <v>913</v>
      </c>
    </row>
    <row r="90" spans="1:3">
      <c r="A90" s="454" t="s">
        <v>179</v>
      </c>
      <c r="B90" s="454" t="s">
        <v>266</v>
      </c>
      <c r="C90" s="455">
        <v>700</v>
      </c>
    </row>
    <row r="91" spans="1:3">
      <c r="A91" s="454" t="s">
        <v>179</v>
      </c>
      <c r="B91" s="454" t="s">
        <v>422</v>
      </c>
      <c r="C91" s="455">
        <v>0</v>
      </c>
    </row>
    <row r="92" spans="1:3">
      <c r="A92" s="454" t="s">
        <v>179</v>
      </c>
      <c r="B92" s="454" t="s">
        <v>423</v>
      </c>
      <c r="C92" s="455">
        <v>102</v>
      </c>
    </row>
    <row r="93" spans="1:3">
      <c r="A93" s="454" t="s">
        <v>179</v>
      </c>
      <c r="B93" s="454" t="s">
        <v>424</v>
      </c>
      <c r="C93" s="455" t="s">
        <v>915</v>
      </c>
    </row>
    <row r="94" spans="1:3">
      <c r="A94" s="454" t="s">
        <v>179</v>
      </c>
      <c r="B94" s="454" t="s">
        <v>425</v>
      </c>
      <c r="C94" s="455">
        <v>700</v>
      </c>
    </row>
    <row r="95" spans="1:3">
      <c r="A95" s="454" t="s">
        <v>179</v>
      </c>
      <c r="B95" s="454" t="s">
        <v>426</v>
      </c>
      <c r="C95" s="455">
        <v>1725</v>
      </c>
    </row>
    <row r="96" spans="1:3">
      <c r="A96" s="454" t="s">
        <v>179</v>
      </c>
      <c r="B96" s="454" t="s">
        <v>427</v>
      </c>
      <c r="C96" s="455">
        <v>103</v>
      </c>
    </row>
    <row r="97" spans="1:3">
      <c r="A97" s="454" t="s">
        <v>179</v>
      </c>
      <c r="B97" s="454" t="s">
        <v>428</v>
      </c>
      <c r="C97" s="455" t="s">
        <v>916</v>
      </c>
    </row>
    <row r="98" spans="1:3">
      <c r="A98" s="454" t="s">
        <v>179</v>
      </c>
      <c r="B98" s="454" t="s">
        <v>429</v>
      </c>
      <c r="C98" s="455">
        <v>950</v>
      </c>
    </row>
    <row r="99" spans="1:3">
      <c r="A99" s="454" t="s">
        <v>179</v>
      </c>
      <c r="B99" s="454" t="s">
        <v>430</v>
      </c>
      <c r="C99" s="455">
        <v>2150</v>
      </c>
    </row>
    <row r="100" spans="1:3">
      <c r="A100" s="454" t="s">
        <v>179</v>
      </c>
      <c r="B100" s="454" t="s">
        <v>431</v>
      </c>
      <c r="C100" s="455">
        <v>104</v>
      </c>
    </row>
    <row r="101" spans="1:3">
      <c r="A101" s="454" t="s">
        <v>179</v>
      </c>
      <c r="B101" s="454" t="s">
        <v>432</v>
      </c>
      <c r="C101" s="455" t="s">
        <v>913</v>
      </c>
    </row>
    <row r="102" spans="1:3">
      <c r="A102" s="454" t="s">
        <v>179</v>
      </c>
      <c r="B102" s="454" t="s">
        <v>433</v>
      </c>
      <c r="C102" s="455">
        <v>700</v>
      </c>
    </row>
    <row r="103" spans="1:3">
      <c r="A103" s="454" t="s">
        <v>179</v>
      </c>
      <c r="B103" s="454" t="s">
        <v>434</v>
      </c>
      <c r="C103" s="455">
        <v>1615</v>
      </c>
    </row>
    <row r="104" spans="1:3">
      <c r="A104" s="454" t="s">
        <v>179</v>
      </c>
      <c r="B104" s="454" t="s">
        <v>435</v>
      </c>
      <c r="C104" s="455">
        <v>105</v>
      </c>
    </row>
    <row r="105" spans="1:3">
      <c r="A105" s="454" t="s">
        <v>179</v>
      </c>
      <c r="B105" s="454" t="s">
        <v>436</v>
      </c>
      <c r="C105" s="455" t="s">
        <v>916</v>
      </c>
    </row>
    <row r="106" spans="1:3">
      <c r="A106" s="454" t="s">
        <v>179</v>
      </c>
      <c r="B106" s="454" t="s">
        <v>437</v>
      </c>
      <c r="C106" s="455">
        <v>950</v>
      </c>
    </row>
    <row r="107" spans="1:3">
      <c r="A107" s="454" t="s">
        <v>179</v>
      </c>
      <c r="B107" s="454" t="s">
        <v>438</v>
      </c>
      <c r="C107" s="455">
        <v>2050</v>
      </c>
    </row>
    <row r="108" spans="1:3">
      <c r="A108" s="454" t="s">
        <v>179</v>
      </c>
      <c r="B108" s="454" t="s">
        <v>439</v>
      </c>
      <c r="C108" s="455">
        <v>106</v>
      </c>
    </row>
    <row r="109" spans="1:3">
      <c r="A109" s="454" t="s">
        <v>179</v>
      </c>
      <c r="B109" s="454" t="s">
        <v>440</v>
      </c>
      <c r="C109" s="455" t="s">
        <v>915</v>
      </c>
    </row>
    <row r="110" spans="1:3">
      <c r="A110" s="454" t="s">
        <v>179</v>
      </c>
      <c r="B110" s="454" t="s">
        <v>441</v>
      </c>
      <c r="C110" s="455">
        <v>700</v>
      </c>
    </row>
    <row r="111" spans="1:3">
      <c r="A111" s="454" t="s">
        <v>179</v>
      </c>
      <c r="B111" s="454" t="s">
        <v>442</v>
      </c>
      <c r="C111" s="455">
        <v>1725</v>
      </c>
    </row>
    <row r="112" spans="1:3">
      <c r="A112" s="454" t="s">
        <v>179</v>
      </c>
      <c r="B112" s="454" t="s">
        <v>443</v>
      </c>
      <c r="C112" s="455">
        <v>107</v>
      </c>
    </row>
    <row r="113" spans="1:3">
      <c r="A113" s="454" t="s">
        <v>179</v>
      </c>
      <c r="B113" s="454" t="s">
        <v>444</v>
      </c>
      <c r="C113" s="455" t="s">
        <v>916</v>
      </c>
    </row>
    <row r="114" spans="1:3">
      <c r="A114" s="454" t="s">
        <v>179</v>
      </c>
      <c r="B114" s="454" t="s">
        <v>445</v>
      </c>
      <c r="C114" s="455">
        <v>950</v>
      </c>
    </row>
    <row r="115" spans="1:3">
      <c r="A115" s="454" t="s">
        <v>179</v>
      </c>
      <c r="B115" s="454" t="s">
        <v>446</v>
      </c>
      <c r="C115" s="455">
        <v>2017</v>
      </c>
    </row>
    <row r="116" spans="1:3">
      <c r="A116" s="454" t="s">
        <v>179</v>
      </c>
      <c r="B116" s="454" t="s">
        <v>271</v>
      </c>
      <c r="C116" s="455">
        <v>108</v>
      </c>
    </row>
    <row r="117" spans="1:3">
      <c r="A117" s="454" t="s">
        <v>179</v>
      </c>
      <c r="B117" s="454" t="s">
        <v>272</v>
      </c>
      <c r="C117" s="455" t="s">
        <v>916</v>
      </c>
    </row>
    <row r="118" spans="1:3">
      <c r="A118" s="454" t="s">
        <v>179</v>
      </c>
      <c r="B118" s="454" t="s">
        <v>273</v>
      </c>
      <c r="C118" s="455">
        <v>950</v>
      </c>
    </row>
    <row r="119" spans="1:3">
      <c r="A119" s="454" t="s">
        <v>179</v>
      </c>
      <c r="B119" s="454" t="s">
        <v>447</v>
      </c>
      <c r="C119" s="455">
        <v>2059</v>
      </c>
    </row>
    <row r="120" spans="1:3">
      <c r="A120" s="454" t="s">
        <v>179</v>
      </c>
      <c r="B120" s="454" t="s">
        <v>278</v>
      </c>
      <c r="C120" s="455">
        <v>109</v>
      </c>
    </row>
    <row r="121" spans="1:3">
      <c r="A121" s="454" t="s">
        <v>179</v>
      </c>
      <c r="B121" s="454" t="s">
        <v>279</v>
      </c>
      <c r="C121" s="455" t="s">
        <v>913</v>
      </c>
    </row>
    <row r="122" spans="1:3">
      <c r="A122" s="454" t="s">
        <v>179</v>
      </c>
      <c r="B122" s="454" t="s">
        <v>280</v>
      </c>
      <c r="C122" s="455">
        <v>700</v>
      </c>
    </row>
    <row r="123" spans="1:3">
      <c r="A123" s="454" t="s">
        <v>179</v>
      </c>
      <c r="B123" s="454" t="s">
        <v>448</v>
      </c>
      <c r="C123" s="455">
        <v>1615</v>
      </c>
    </row>
    <row r="124" spans="1:3">
      <c r="A124" s="454" t="s">
        <v>179</v>
      </c>
      <c r="B124" s="454" t="s">
        <v>285</v>
      </c>
      <c r="C124" s="455">
        <v>110</v>
      </c>
    </row>
    <row r="125" spans="1:3">
      <c r="A125" s="454" t="s">
        <v>179</v>
      </c>
      <c r="B125" s="454" t="s">
        <v>286</v>
      </c>
      <c r="C125" s="455" t="s">
        <v>913</v>
      </c>
    </row>
    <row r="126" spans="1:3">
      <c r="A126" s="454" t="s">
        <v>179</v>
      </c>
      <c r="B126" s="454" t="s">
        <v>287</v>
      </c>
      <c r="C126" s="455">
        <v>700</v>
      </c>
    </row>
    <row r="127" spans="1:3">
      <c r="A127" s="454" t="s">
        <v>179</v>
      </c>
      <c r="B127" s="454" t="s">
        <v>449</v>
      </c>
      <c r="C127" s="455">
        <v>1625</v>
      </c>
    </row>
    <row r="128" spans="1:3">
      <c r="A128" s="454" t="s">
        <v>179</v>
      </c>
      <c r="B128" s="454" t="s">
        <v>292</v>
      </c>
      <c r="C128" s="455">
        <v>111</v>
      </c>
    </row>
    <row r="129" spans="1:3">
      <c r="A129" s="454" t="s">
        <v>179</v>
      </c>
      <c r="B129" s="454" t="s">
        <v>293</v>
      </c>
      <c r="C129" s="455" t="s">
        <v>916</v>
      </c>
    </row>
    <row r="130" spans="1:3">
      <c r="A130" s="454" t="s">
        <v>179</v>
      </c>
      <c r="B130" s="454" t="s">
        <v>294</v>
      </c>
      <c r="C130" s="455">
        <v>950</v>
      </c>
    </row>
    <row r="131" spans="1:3">
      <c r="A131" s="454" t="s">
        <v>179</v>
      </c>
      <c r="B131" s="454" t="s">
        <v>450</v>
      </c>
      <c r="C131" s="455">
        <v>2050</v>
      </c>
    </row>
    <row r="132" spans="1:3">
      <c r="A132" s="454" t="s">
        <v>179</v>
      </c>
      <c r="B132" s="454" t="s">
        <v>298</v>
      </c>
      <c r="C132" s="455">
        <v>112</v>
      </c>
    </row>
    <row r="133" spans="1:3">
      <c r="A133" s="454" t="s">
        <v>179</v>
      </c>
      <c r="B133" s="454" t="s">
        <v>299</v>
      </c>
      <c r="C133" s="455" t="s">
        <v>913</v>
      </c>
    </row>
    <row r="134" spans="1:3">
      <c r="A134" s="454" t="s">
        <v>179</v>
      </c>
      <c r="B134" s="454" t="s">
        <v>300</v>
      </c>
      <c r="C134" s="455">
        <v>700</v>
      </c>
    </row>
    <row r="135" spans="1:3">
      <c r="A135" s="454" t="s">
        <v>179</v>
      </c>
      <c r="B135" s="454" t="s">
        <v>451</v>
      </c>
      <c r="C135" s="455">
        <v>1645</v>
      </c>
    </row>
    <row r="136" spans="1:3">
      <c r="A136" s="454" t="s">
        <v>179</v>
      </c>
      <c r="B136" s="454" t="s">
        <v>452</v>
      </c>
      <c r="C136" s="455">
        <v>113</v>
      </c>
    </row>
    <row r="137" spans="1:3">
      <c r="A137" s="454" t="s">
        <v>179</v>
      </c>
      <c r="B137" s="454" t="s">
        <v>453</v>
      </c>
      <c r="C137" s="455" t="s">
        <v>916</v>
      </c>
    </row>
    <row r="138" spans="1:3">
      <c r="A138" s="454" t="s">
        <v>179</v>
      </c>
      <c r="B138" s="454" t="s">
        <v>454</v>
      </c>
      <c r="C138" s="455">
        <v>950</v>
      </c>
    </row>
    <row r="139" spans="1:3">
      <c r="A139" s="454" t="s">
        <v>179</v>
      </c>
      <c r="B139" s="454" t="s">
        <v>455</v>
      </c>
      <c r="C139" s="455">
        <v>2195</v>
      </c>
    </row>
    <row r="140" spans="1:3">
      <c r="A140" s="454" t="s">
        <v>179</v>
      </c>
      <c r="B140" s="454" t="s">
        <v>456</v>
      </c>
      <c r="C140" s="455">
        <v>114</v>
      </c>
    </row>
    <row r="141" spans="1:3">
      <c r="A141" s="454" t="s">
        <v>179</v>
      </c>
      <c r="B141" s="454" t="s">
        <v>457</v>
      </c>
      <c r="C141" s="455" t="s">
        <v>915</v>
      </c>
    </row>
    <row r="142" spans="1:3">
      <c r="A142" s="454" t="s">
        <v>179</v>
      </c>
      <c r="B142" s="454" t="s">
        <v>458</v>
      </c>
      <c r="C142" s="455">
        <v>700</v>
      </c>
    </row>
    <row r="143" spans="1:3">
      <c r="A143" s="454" t="s">
        <v>179</v>
      </c>
      <c r="B143" s="454" t="s">
        <v>459</v>
      </c>
      <c r="C143" s="455">
        <v>1700</v>
      </c>
    </row>
    <row r="144" spans="1:3">
      <c r="A144" s="454" t="s">
        <v>179</v>
      </c>
      <c r="B144" s="454" t="s">
        <v>460</v>
      </c>
      <c r="C144" s="455">
        <v>115</v>
      </c>
    </row>
    <row r="145" spans="1:3">
      <c r="A145" s="454" t="s">
        <v>179</v>
      </c>
      <c r="B145" s="454" t="s">
        <v>461</v>
      </c>
      <c r="C145" s="455" t="s">
        <v>916</v>
      </c>
    </row>
    <row r="146" spans="1:3">
      <c r="A146" s="454" t="s">
        <v>179</v>
      </c>
      <c r="B146" s="454" t="s">
        <v>462</v>
      </c>
      <c r="C146" s="455">
        <v>950</v>
      </c>
    </row>
    <row r="147" spans="1:3">
      <c r="A147" s="454" t="s">
        <v>179</v>
      </c>
      <c r="B147" s="454" t="s">
        <v>463</v>
      </c>
      <c r="C147" s="455">
        <v>2150</v>
      </c>
    </row>
    <row r="148" spans="1:3">
      <c r="A148" s="454" t="s">
        <v>179</v>
      </c>
      <c r="B148" s="454" t="s">
        <v>464</v>
      </c>
      <c r="C148" s="455">
        <v>116</v>
      </c>
    </row>
    <row r="149" spans="1:3">
      <c r="A149" s="454" t="s">
        <v>179</v>
      </c>
      <c r="B149" s="454" t="s">
        <v>465</v>
      </c>
      <c r="C149" s="455" t="s">
        <v>913</v>
      </c>
    </row>
    <row r="150" spans="1:3">
      <c r="A150" s="454" t="s">
        <v>179</v>
      </c>
      <c r="B150" s="454" t="s">
        <v>466</v>
      </c>
      <c r="C150" s="455">
        <v>700</v>
      </c>
    </row>
    <row r="151" spans="1:3">
      <c r="A151" s="454" t="s">
        <v>179</v>
      </c>
      <c r="B151" s="454" t="s">
        <v>467</v>
      </c>
      <c r="C151" s="455">
        <v>1725</v>
      </c>
    </row>
    <row r="152" spans="1:3">
      <c r="A152" s="454" t="s">
        <v>179</v>
      </c>
      <c r="B152" s="454" t="s">
        <v>468</v>
      </c>
      <c r="C152" s="455">
        <v>117</v>
      </c>
    </row>
    <row r="153" spans="1:3">
      <c r="A153" s="454" t="s">
        <v>179</v>
      </c>
      <c r="B153" s="454" t="s">
        <v>469</v>
      </c>
      <c r="C153" s="455" t="s">
        <v>930</v>
      </c>
    </row>
    <row r="154" spans="1:3">
      <c r="A154" s="454" t="s">
        <v>179</v>
      </c>
      <c r="B154" s="454" t="s">
        <v>470</v>
      </c>
      <c r="C154" s="455">
        <v>950</v>
      </c>
    </row>
    <row r="155" spans="1:3">
      <c r="A155" s="454" t="s">
        <v>179</v>
      </c>
      <c r="B155" s="454" t="s">
        <v>471</v>
      </c>
      <c r="C155" s="455">
        <v>2015</v>
      </c>
    </row>
    <row r="156" spans="1:3">
      <c r="A156" s="454" t="s">
        <v>179</v>
      </c>
      <c r="B156" s="454" t="s">
        <v>472</v>
      </c>
      <c r="C156" s="455">
        <v>118</v>
      </c>
    </row>
    <row r="157" spans="1:3">
      <c r="A157" s="454" t="s">
        <v>179</v>
      </c>
      <c r="B157" s="454" t="s">
        <v>473</v>
      </c>
      <c r="C157" s="455" t="s">
        <v>916</v>
      </c>
    </row>
    <row r="158" spans="1:3">
      <c r="A158" s="454" t="s">
        <v>179</v>
      </c>
      <c r="B158" s="454" t="s">
        <v>474</v>
      </c>
      <c r="C158" s="455">
        <v>950</v>
      </c>
    </row>
    <row r="159" spans="1:3">
      <c r="A159" s="454" t="s">
        <v>179</v>
      </c>
      <c r="B159" s="454" t="s">
        <v>475</v>
      </c>
      <c r="C159" s="455">
        <v>1895</v>
      </c>
    </row>
    <row r="160" spans="1:3">
      <c r="A160" s="454" t="s">
        <v>179</v>
      </c>
      <c r="B160" s="454" t="s">
        <v>305</v>
      </c>
      <c r="C160" s="455">
        <v>119</v>
      </c>
    </row>
    <row r="161" spans="1:3">
      <c r="A161" s="454" t="s">
        <v>179</v>
      </c>
      <c r="B161" s="454" t="s">
        <v>306</v>
      </c>
      <c r="C161" s="455" t="s">
        <v>916</v>
      </c>
    </row>
    <row r="162" spans="1:3">
      <c r="A162" s="454" t="s">
        <v>179</v>
      </c>
      <c r="B162" s="454" t="s">
        <v>307</v>
      </c>
      <c r="C162" s="455">
        <v>950</v>
      </c>
    </row>
    <row r="163" spans="1:3">
      <c r="A163" s="454" t="s">
        <v>179</v>
      </c>
      <c r="B163" s="454" t="s">
        <v>476</v>
      </c>
      <c r="C163" s="455">
        <v>2095</v>
      </c>
    </row>
    <row r="164" spans="1:3">
      <c r="A164" s="454" t="s">
        <v>179</v>
      </c>
      <c r="B164" s="454" t="s">
        <v>312</v>
      </c>
      <c r="C164" s="455">
        <v>120</v>
      </c>
    </row>
    <row r="165" spans="1:3">
      <c r="A165" s="454" t="s">
        <v>179</v>
      </c>
      <c r="B165" s="454" t="s">
        <v>313</v>
      </c>
      <c r="C165" s="455" t="s">
        <v>913</v>
      </c>
    </row>
    <row r="166" spans="1:3">
      <c r="A166" s="454" t="s">
        <v>179</v>
      </c>
      <c r="B166" s="454" t="s">
        <v>314</v>
      </c>
      <c r="C166" s="455">
        <v>750</v>
      </c>
    </row>
    <row r="167" spans="1:3">
      <c r="A167" s="454" t="s">
        <v>179</v>
      </c>
      <c r="B167" s="454" t="s">
        <v>477</v>
      </c>
      <c r="C167" s="455">
        <v>1675</v>
      </c>
    </row>
    <row r="168" spans="1:3">
      <c r="A168" s="454" t="s">
        <v>179</v>
      </c>
      <c r="B168" s="454" t="s">
        <v>319</v>
      </c>
      <c r="C168" s="455">
        <v>121</v>
      </c>
    </row>
    <row r="169" spans="1:3">
      <c r="A169" s="454" t="s">
        <v>179</v>
      </c>
      <c r="B169" s="454" t="s">
        <v>320</v>
      </c>
      <c r="C169" s="455" t="s">
        <v>916</v>
      </c>
    </row>
    <row r="170" spans="1:3">
      <c r="A170" s="454" t="s">
        <v>179</v>
      </c>
      <c r="B170" s="454" t="s">
        <v>321</v>
      </c>
      <c r="C170" s="455">
        <v>950</v>
      </c>
    </row>
    <row r="171" spans="1:3">
      <c r="A171" s="454" t="s">
        <v>179</v>
      </c>
      <c r="B171" s="454" t="s">
        <v>478</v>
      </c>
      <c r="C171" s="455">
        <v>1975</v>
      </c>
    </row>
    <row r="172" spans="1:3">
      <c r="A172" s="454" t="s">
        <v>179</v>
      </c>
      <c r="B172" s="454" t="s">
        <v>326</v>
      </c>
      <c r="C172" s="455">
        <v>122</v>
      </c>
    </row>
    <row r="173" spans="1:3">
      <c r="A173" s="454" t="s">
        <v>179</v>
      </c>
      <c r="B173" s="454" t="s">
        <v>327</v>
      </c>
      <c r="C173" s="455" t="s">
        <v>915</v>
      </c>
    </row>
    <row r="174" spans="1:3">
      <c r="A174" s="454" t="s">
        <v>179</v>
      </c>
      <c r="B174" s="454" t="s">
        <v>328</v>
      </c>
      <c r="C174" s="455">
        <v>950</v>
      </c>
    </row>
    <row r="175" spans="1:3">
      <c r="A175" s="454" t="s">
        <v>179</v>
      </c>
      <c r="B175" s="454" t="s">
        <v>479</v>
      </c>
      <c r="C175" s="455">
        <v>1725</v>
      </c>
    </row>
    <row r="176" spans="1:3">
      <c r="A176" s="454" t="s">
        <v>179</v>
      </c>
      <c r="B176" s="454" t="s">
        <v>333</v>
      </c>
      <c r="C176" s="455">
        <v>123</v>
      </c>
    </row>
    <row r="177" spans="1:3">
      <c r="A177" s="454" t="s">
        <v>179</v>
      </c>
      <c r="B177" s="454" t="s">
        <v>334</v>
      </c>
      <c r="C177" s="455" t="s">
        <v>913</v>
      </c>
    </row>
    <row r="178" spans="1:3">
      <c r="A178" s="454" t="s">
        <v>179</v>
      </c>
      <c r="B178" s="454" t="s">
        <v>335</v>
      </c>
      <c r="C178" s="455">
        <v>700</v>
      </c>
    </row>
    <row r="179" spans="1:3">
      <c r="A179" s="454" t="s">
        <v>179</v>
      </c>
      <c r="B179" s="454" t="s">
        <v>480</v>
      </c>
      <c r="C179" s="455">
        <v>1574</v>
      </c>
    </row>
    <row r="180" spans="1:3">
      <c r="A180" s="454" t="s">
        <v>179</v>
      </c>
      <c r="B180" s="454" t="s">
        <v>481</v>
      </c>
      <c r="C180" s="455">
        <v>124</v>
      </c>
    </row>
    <row r="181" spans="1:3">
      <c r="A181" s="454" t="s">
        <v>179</v>
      </c>
      <c r="B181" s="454" t="s">
        <v>482</v>
      </c>
      <c r="C181" s="455" t="s">
        <v>916</v>
      </c>
    </row>
    <row r="182" spans="1:3">
      <c r="A182" s="454" t="s">
        <v>179</v>
      </c>
      <c r="B182" s="454" t="s">
        <v>483</v>
      </c>
      <c r="C182" s="455">
        <v>950</v>
      </c>
    </row>
    <row r="183" spans="1:3">
      <c r="A183" s="454" t="s">
        <v>179</v>
      </c>
      <c r="B183" s="454" t="s">
        <v>484</v>
      </c>
      <c r="C183" s="455">
        <v>2050</v>
      </c>
    </row>
    <row r="184" spans="1:3">
      <c r="A184" s="454" t="s">
        <v>179</v>
      </c>
      <c r="B184" s="454" t="s">
        <v>485</v>
      </c>
      <c r="C184" s="455">
        <v>125</v>
      </c>
    </row>
    <row r="185" spans="1:3">
      <c r="A185" s="454" t="s">
        <v>179</v>
      </c>
      <c r="B185" s="454" t="s">
        <v>486</v>
      </c>
      <c r="C185" s="455" t="s">
        <v>913</v>
      </c>
    </row>
    <row r="186" spans="1:3">
      <c r="A186" s="454" t="s">
        <v>179</v>
      </c>
      <c r="B186" s="454" t="s">
        <v>487</v>
      </c>
      <c r="C186" s="455">
        <v>700</v>
      </c>
    </row>
    <row r="187" spans="1:3">
      <c r="A187" s="454" t="s">
        <v>179</v>
      </c>
      <c r="B187" s="454" t="s">
        <v>488</v>
      </c>
      <c r="C187" s="455">
        <v>1650</v>
      </c>
    </row>
    <row r="188" spans="1:3">
      <c r="A188" s="454" t="s">
        <v>179</v>
      </c>
      <c r="B188" s="454" t="s">
        <v>203</v>
      </c>
      <c r="C188" s="455">
        <v>126</v>
      </c>
    </row>
    <row r="189" spans="1:3">
      <c r="A189" s="454" t="s">
        <v>179</v>
      </c>
      <c r="B189" s="454" t="s">
        <v>206</v>
      </c>
      <c r="C189" s="455" t="s">
        <v>913</v>
      </c>
    </row>
    <row r="190" spans="1:3">
      <c r="A190" s="454" t="s">
        <v>179</v>
      </c>
      <c r="B190" s="454" t="s">
        <v>209</v>
      </c>
      <c r="C190" s="455">
        <v>700</v>
      </c>
    </row>
    <row r="191" spans="1:3">
      <c r="A191" s="454" t="s">
        <v>179</v>
      </c>
      <c r="B191" s="454" t="s">
        <v>211</v>
      </c>
      <c r="C191" s="455">
        <v>1750</v>
      </c>
    </row>
    <row r="192" spans="1:3">
      <c r="A192" s="454" t="s">
        <v>179</v>
      </c>
      <c r="B192" s="454" t="s">
        <v>489</v>
      </c>
      <c r="C192" s="455">
        <v>127</v>
      </c>
    </row>
    <row r="193" spans="1:3">
      <c r="A193" s="454" t="s">
        <v>179</v>
      </c>
      <c r="B193" s="454" t="s">
        <v>490</v>
      </c>
      <c r="C193" s="455" t="s">
        <v>915</v>
      </c>
    </row>
    <row r="194" spans="1:3">
      <c r="A194" s="454" t="s">
        <v>179</v>
      </c>
      <c r="B194" s="454" t="s">
        <v>491</v>
      </c>
      <c r="C194" s="455">
        <v>700</v>
      </c>
    </row>
    <row r="195" spans="1:3">
      <c r="A195" s="454" t="s">
        <v>179</v>
      </c>
      <c r="B195" s="454" t="s">
        <v>492</v>
      </c>
      <c r="C195" s="455">
        <v>1695</v>
      </c>
    </row>
    <row r="196" spans="1:3">
      <c r="A196" s="454" t="s">
        <v>179</v>
      </c>
      <c r="B196" s="454" t="s">
        <v>493</v>
      </c>
      <c r="C196" s="455">
        <v>201</v>
      </c>
    </row>
    <row r="197" spans="1:3">
      <c r="A197" s="454" t="s">
        <v>179</v>
      </c>
      <c r="B197" s="454" t="s">
        <v>494</v>
      </c>
      <c r="C197" s="455" t="s">
        <v>980</v>
      </c>
    </row>
    <row r="198" spans="1:3">
      <c r="A198" s="454" t="s">
        <v>179</v>
      </c>
      <c r="B198" s="454" t="s">
        <v>495</v>
      </c>
      <c r="C198" s="455">
        <v>1350</v>
      </c>
    </row>
    <row r="199" spans="1:3">
      <c r="A199" s="454" t="s">
        <v>179</v>
      </c>
      <c r="B199" s="454" t="s">
        <v>496</v>
      </c>
      <c r="C199" s="455">
        <v>2750</v>
      </c>
    </row>
    <row r="200" spans="1:3">
      <c r="A200" s="454" t="s">
        <v>179</v>
      </c>
      <c r="B200" s="454" t="s">
        <v>497</v>
      </c>
      <c r="C200" s="455">
        <v>202</v>
      </c>
    </row>
    <row r="201" spans="1:3">
      <c r="A201" s="454" t="s">
        <v>179</v>
      </c>
      <c r="B201" s="454" t="s">
        <v>498</v>
      </c>
      <c r="C201" s="455" t="s">
        <v>981</v>
      </c>
    </row>
    <row r="202" spans="1:3">
      <c r="A202" s="454" t="s">
        <v>179</v>
      </c>
      <c r="B202" s="454" t="s">
        <v>499</v>
      </c>
      <c r="C202" s="455">
        <v>1450</v>
      </c>
    </row>
    <row r="203" spans="1:3">
      <c r="A203" s="454" t="s">
        <v>179</v>
      </c>
      <c r="B203" s="454" t="s">
        <v>500</v>
      </c>
      <c r="C203" s="455">
        <v>2850</v>
      </c>
    </row>
    <row r="204" spans="1:3">
      <c r="A204" s="454" t="s">
        <v>179</v>
      </c>
      <c r="B204" s="454" t="s">
        <v>339</v>
      </c>
      <c r="C204" s="455">
        <v>203</v>
      </c>
    </row>
    <row r="205" spans="1:3">
      <c r="A205" s="454" t="s">
        <v>179</v>
      </c>
      <c r="B205" s="454" t="s">
        <v>340</v>
      </c>
      <c r="C205" s="455" t="s">
        <v>979</v>
      </c>
    </row>
    <row r="206" spans="1:3">
      <c r="A206" s="454" t="s">
        <v>179</v>
      </c>
      <c r="B206" s="454" t="s">
        <v>341</v>
      </c>
      <c r="C206" s="455">
        <v>1350</v>
      </c>
    </row>
    <row r="207" spans="1:3">
      <c r="A207" s="454" t="s">
        <v>179</v>
      </c>
      <c r="B207" s="454" t="s">
        <v>501</v>
      </c>
      <c r="C207" s="455">
        <v>0</v>
      </c>
    </row>
    <row r="208" spans="1:3">
      <c r="A208" s="454" t="s">
        <v>179</v>
      </c>
      <c r="B208" s="454" t="s">
        <v>346</v>
      </c>
      <c r="C208" s="455">
        <v>204</v>
      </c>
    </row>
    <row r="209" spans="1:3">
      <c r="A209" s="454" t="s">
        <v>179</v>
      </c>
      <c r="B209" s="454" t="s">
        <v>347</v>
      </c>
      <c r="C209" s="455" t="s">
        <v>981</v>
      </c>
    </row>
    <row r="210" spans="1:3">
      <c r="A210" s="454" t="s">
        <v>179</v>
      </c>
      <c r="B210" s="454" t="s">
        <v>348</v>
      </c>
      <c r="C210" s="455">
        <v>1450</v>
      </c>
    </row>
    <row r="211" spans="1:3">
      <c r="A211" s="454" t="s">
        <v>179</v>
      </c>
      <c r="B211" s="454" t="s">
        <v>502</v>
      </c>
      <c r="C211" s="455">
        <v>2795</v>
      </c>
    </row>
    <row r="212" spans="1:3">
      <c r="A212" s="454" t="s">
        <v>179</v>
      </c>
      <c r="B212" s="454" t="s">
        <v>353</v>
      </c>
      <c r="C212" s="455">
        <v>205</v>
      </c>
    </row>
    <row r="213" spans="1:3">
      <c r="A213" s="454" t="s">
        <v>179</v>
      </c>
      <c r="B213" s="454" t="s">
        <v>354</v>
      </c>
      <c r="C213" s="455" t="s">
        <v>979</v>
      </c>
    </row>
    <row r="214" spans="1:3">
      <c r="A214" s="454" t="s">
        <v>179</v>
      </c>
      <c r="B214" s="454" t="s">
        <v>355</v>
      </c>
      <c r="C214" s="455">
        <v>1350</v>
      </c>
    </row>
    <row r="215" spans="1:3">
      <c r="A215" s="454" t="s">
        <v>179</v>
      </c>
      <c r="B215" s="454" t="s">
        <v>503</v>
      </c>
      <c r="C215" s="455">
        <v>2750</v>
      </c>
    </row>
    <row r="216" spans="1:3">
      <c r="A216" s="454" t="s">
        <v>179</v>
      </c>
      <c r="B216" s="454" t="s">
        <v>360</v>
      </c>
      <c r="C216" s="455">
        <v>206</v>
      </c>
    </row>
    <row r="217" spans="1:3">
      <c r="A217" s="454" t="s">
        <v>179</v>
      </c>
      <c r="B217" s="454" t="s">
        <v>361</v>
      </c>
      <c r="C217" s="455" t="s">
        <v>979</v>
      </c>
    </row>
    <row r="218" spans="1:3">
      <c r="A218" s="454" t="s">
        <v>179</v>
      </c>
      <c r="B218" s="454" t="s">
        <v>362</v>
      </c>
      <c r="C218" s="455">
        <v>1350</v>
      </c>
    </row>
    <row r="219" spans="1:3">
      <c r="A219" s="454" t="s">
        <v>179</v>
      </c>
      <c r="B219" s="454" t="s">
        <v>504</v>
      </c>
      <c r="C219" s="455">
        <v>2850</v>
      </c>
    </row>
    <row r="220" spans="1:3">
      <c r="A220" s="454" t="s">
        <v>179</v>
      </c>
      <c r="B220" s="454" t="s">
        <v>367</v>
      </c>
      <c r="C220" s="455">
        <v>207</v>
      </c>
    </row>
    <row r="221" spans="1:3">
      <c r="A221" s="454" t="s">
        <v>179</v>
      </c>
      <c r="B221" s="454" t="s">
        <v>368</v>
      </c>
      <c r="C221" s="455" t="s">
        <v>979</v>
      </c>
    </row>
    <row r="222" spans="1:3">
      <c r="A222" s="454" t="s">
        <v>179</v>
      </c>
      <c r="B222" s="454" t="s">
        <v>369</v>
      </c>
      <c r="C222" s="455">
        <v>1350</v>
      </c>
    </row>
    <row r="223" spans="1:3">
      <c r="A223" s="454" t="s">
        <v>179</v>
      </c>
      <c r="B223" s="454" t="s">
        <v>505</v>
      </c>
      <c r="C223" s="455">
        <v>2695</v>
      </c>
    </row>
    <row r="224" spans="1:3">
      <c r="A224" s="454" t="s">
        <v>179</v>
      </c>
      <c r="B224" s="454" t="s">
        <v>506</v>
      </c>
      <c r="C224" s="455">
        <v>208</v>
      </c>
    </row>
    <row r="225" spans="1:3">
      <c r="A225" s="454" t="s">
        <v>179</v>
      </c>
      <c r="B225" s="454" t="s">
        <v>507</v>
      </c>
      <c r="C225" s="455" t="s">
        <v>981</v>
      </c>
    </row>
    <row r="226" spans="1:3">
      <c r="A226" s="454" t="s">
        <v>179</v>
      </c>
      <c r="B226" s="454" t="s">
        <v>508</v>
      </c>
      <c r="C226" s="455">
        <v>1450</v>
      </c>
    </row>
    <row r="227" spans="1:3">
      <c r="A227" s="454" t="s">
        <v>179</v>
      </c>
      <c r="B227" s="454" t="s">
        <v>509</v>
      </c>
      <c r="C227" s="455">
        <v>2795</v>
      </c>
    </row>
    <row r="228" spans="1:3">
      <c r="A228" s="454" t="s">
        <v>179</v>
      </c>
      <c r="B228" s="454" t="s">
        <v>510</v>
      </c>
      <c r="C228" s="455">
        <v>209</v>
      </c>
    </row>
    <row r="229" spans="1:3">
      <c r="A229" s="454" t="s">
        <v>179</v>
      </c>
      <c r="B229" s="454" t="s">
        <v>511</v>
      </c>
      <c r="C229" s="455" t="s">
        <v>979</v>
      </c>
    </row>
    <row r="230" spans="1:3">
      <c r="A230" s="454" t="s">
        <v>179</v>
      </c>
      <c r="B230" s="454" t="s">
        <v>512</v>
      </c>
      <c r="C230" s="455">
        <v>1350</v>
      </c>
    </row>
    <row r="231" spans="1:3">
      <c r="A231" s="454" t="s">
        <v>179</v>
      </c>
      <c r="B231" s="454" t="s">
        <v>513</v>
      </c>
      <c r="C231" s="455">
        <v>2466</v>
      </c>
    </row>
    <row r="232" spans="1:3">
      <c r="A232" s="454" t="s">
        <v>179</v>
      </c>
      <c r="B232" s="454" t="s">
        <v>514</v>
      </c>
      <c r="C232" s="455">
        <v>210</v>
      </c>
    </row>
    <row r="233" spans="1:3">
      <c r="A233" s="454" t="s">
        <v>179</v>
      </c>
      <c r="B233" s="454" t="s">
        <v>515</v>
      </c>
      <c r="C233" s="455" t="s">
        <v>919</v>
      </c>
    </row>
    <row r="234" spans="1:3">
      <c r="A234" s="454" t="s">
        <v>179</v>
      </c>
      <c r="B234" s="454" t="s">
        <v>516</v>
      </c>
      <c r="C234" s="455">
        <v>1200</v>
      </c>
    </row>
    <row r="235" spans="1:3">
      <c r="A235" s="454" t="s">
        <v>179</v>
      </c>
      <c r="B235" s="454" t="s">
        <v>517</v>
      </c>
      <c r="C235" s="455">
        <v>2168</v>
      </c>
    </row>
    <row r="236" spans="1:3">
      <c r="A236" s="454" t="s">
        <v>179</v>
      </c>
      <c r="B236" s="454" t="s">
        <v>518</v>
      </c>
      <c r="C236" s="455">
        <v>211</v>
      </c>
    </row>
    <row r="237" spans="1:3">
      <c r="A237" s="454" t="s">
        <v>179</v>
      </c>
      <c r="B237" s="454" t="s">
        <v>519</v>
      </c>
      <c r="C237" s="455" t="s">
        <v>920</v>
      </c>
    </row>
    <row r="238" spans="1:3">
      <c r="A238" s="454" t="s">
        <v>179</v>
      </c>
      <c r="B238" s="454" t="s">
        <v>520</v>
      </c>
      <c r="C238" s="455">
        <v>1200</v>
      </c>
    </row>
    <row r="239" spans="1:3">
      <c r="A239" s="454" t="s">
        <v>179</v>
      </c>
      <c r="B239" s="454" t="s">
        <v>521</v>
      </c>
    </row>
    <row r="240" spans="1:3">
      <c r="A240" s="454" t="s">
        <v>179</v>
      </c>
      <c r="B240" s="454" t="s">
        <v>522</v>
      </c>
      <c r="C240" s="455">
        <v>212</v>
      </c>
    </row>
    <row r="241" spans="1:3">
      <c r="A241" s="454" t="s">
        <v>179</v>
      </c>
      <c r="B241" s="454" t="s">
        <v>523</v>
      </c>
      <c r="C241" s="455" t="s">
        <v>919</v>
      </c>
    </row>
    <row r="242" spans="1:3">
      <c r="A242" s="454" t="s">
        <v>179</v>
      </c>
      <c r="B242" s="454" t="s">
        <v>524</v>
      </c>
      <c r="C242" s="455">
        <v>1200</v>
      </c>
    </row>
    <row r="243" spans="1:3">
      <c r="A243" s="454" t="s">
        <v>179</v>
      </c>
      <c r="B243" s="454" t="s">
        <v>525</v>
      </c>
      <c r="C243" s="455">
        <v>2050</v>
      </c>
    </row>
    <row r="244" spans="1:3">
      <c r="A244" s="454" t="s">
        <v>179</v>
      </c>
      <c r="B244" s="454" t="s">
        <v>526</v>
      </c>
      <c r="C244" s="455">
        <v>213</v>
      </c>
    </row>
    <row r="245" spans="1:3">
      <c r="A245" s="454" t="s">
        <v>179</v>
      </c>
      <c r="B245" s="454" t="s">
        <v>527</v>
      </c>
      <c r="C245" s="455" t="s">
        <v>920</v>
      </c>
    </row>
    <row r="246" spans="1:3">
      <c r="A246" s="454" t="s">
        <v>179</v>
      </c>
      <c r="B246" s="454" t="s">
        <v>528</v>
      </c>
      <c r="C246" s="455">
        <v>1200</v>
      </c>
    </row>
    <row r="247" spans="1:3">
      <c r="A247" s="454" t="s">
        <v>179</v>
      </c>
      <c r="B247" s="454" t="s">
        <v>529</v>
      </c>
      <c r="C247" s="455">
        <v>2395</v>
      </c>
    </row>
    <row r="248" spans="1:3">
      <c r="A248" s="454" t="s">
        <v>179</v>
      </c>
      <c r="B248" s="454" t="s">
        <v>375</v>
      </c>
      <c r="C248" s="455">
        <v>214</v>
      </c>
    </row>
    <row r="249" spans="1:3">
      <c r="A249" s="454" t="s">
        <v>179</v>
      </c>
      <c r="B249" s="454" t="s">
        <v>376</v>
      </c>
      <c r="C249" s="455" t="s">
        <v>919</v>
      </c>
    </row>
    <row r="250" spans="1:3">
      <c r="A250" s="454" t="s">
        <v>179</v>
      </c>
      <c r="B250" s="454" t="s">
        <v>377</v>
      </c>
      <c r="C250" s="455">
        <v>1200</v>
      </c>
    </row>
    <row r="251" spans="1:3">
      <c r="A251" s="454" t="s">
        <v>179</v>
      </c>
      <c r="B251" s="454" t="s">
        <v>530</v>
      </c>
      <c r="C251" s="455">
        <v>2145</v>
      </c>
    </row>
    <row r="252" spans="1:3">
      <c r="A252" s="454" t="s">
        <v>179</v>
      </c>
      <c r="B252" s="454" t="s">
        <v>382</v>
      </c>
      <c r="C252" s="455">
        <v>215</v>
      </c>
    </row>
    <row r="253" spans="1:3">
      <c r="A253" s="454" t="s">
        <v>179</v>
      </c>
      <c r="B253" s="454" t="s">
        <v>383</v>
      </c>
      <c r="C253" s="455" t="s">
        <v>982</v>
      </c>
    </row>
    <row r="254" spans="1:3">
      <c r="A254" s="454" t="s">
        <v>179</v>
      </c>
      <c r="B254" s="454" t="s">
        <v>384</v>
      </c>
      <c r="C254" s="455">
        <v>1450</v>
      </c>
    </row>
    <row r="255" spans="1:3">
      <c r="A255" s="454" t="s">
        <v>179</v>
      </c>
      <c r="B255" s="454" t="s">
        <v>531</v>
      </c>
      <c r="C255" s="455">
        <v>2795</v>
      </c>
    </row>
    <row r="256" spans="1:3">
      <c r="A256" s="454" t="s">
        <v>179</v>
      </c>
      <c r="B256" s="454" t="s">
        <v>389</v>
      </c>
      <c r="C256" s="455">
        <v>216</v>
      </c>
    </row>
    <row r="257" spans="1:3" ht="30">
      <c r="A257" s="454" t="s">
        <v>179</v>
      </c>
      <c r="B257" s="454" t="s">
        <v>390</v>
      </c>
      <c r="C257" s="458" t="s">
        <v>919</v>
      </c>
    </row>
    <row r="258" spans="1:3">
      <c r="A258" s="454" t="s">
        <v>179</v>
      </c>
      <c r="B258" s="454" t="s">
        <v>391</v>
      </c>
      <c r="C258" s="455">
        <v>1200</v>
      </c>
    </row>
    <row r="259" spans="1:3">
      <c r="A259" s="454" t="s">
        <v>179</v>
      </c>
      <c r="B259" s="454" t="s">
        <v>532</v>
      </c>
      <c r="C259" s="455">
        <v>2132</v>
      </c>
    </row>
    <row r="260" spans="1:3">
      <c r="A260" s="454" t="s">
        <v>179</v>
      </c>
      <c r="B260" s="454" t="s">
        <v>396</v>
      </c>
      <c r="C260" s="455">
        <v>217</v>
      </c>
    </row>
    <row r="261" spans="1:3">
      <c r="A261" s="454" t="s">
        <v>179</v>
      </c>
      <c r="B261" s="454" t="s">
        <v>397</v>
      </c>
      <c r="C261" s="455" t="s">
        <v>919</v>
      </c>
    </row>
    <row r="262" spans="1:3">
      <c r="A262" s="454" t="s">
        <v>179</v>
      </c>
      <c r="B262" s="454" t="s">
        <v>398</v>
      </c>
      <c r="C262" s="455">
        <v>1200</v>
      </c>
    </row>
    <row r="263" spans="1:3">
      <c r="A263" s="454" t="s">
        <v>179</v>
      </c>
      <c r="B263" s="454" t="s">
        <v>533</v>
      </c>
      <c r="C263" s="455">
        <v>2200</v>
      </c>
    </row>
    <row r="264" spans="1:3">
      <c r="A264" s="454" t="s">
        <v>179</v>
      </c>
      <c r="B264" s="454" t="s">
        <v>403</v>
      </c>
      <c r="C264" s="455">
        <v>218</v>
      </c>
    </row>
    <row r="265" spans="1:3">
      <c r="A265" s="454" t="s">
        <v>179</v>
      </c>
      <c r="B265" s="454" t="s">
        <v>404</v>
      </c>
      <c r="C265" s="455" t="s">
        <v>982</v>
      </c>
    </row>
    <row r="266" spans="1:3">
      <c r="A266" s="454" t="s">
        <v>179</v>
      </c>
      <c r="B266" s="454" t="s">
        <v>405</v>
      </c>
      <c r="C266" s="455">
        <v>1450</v>
      </c>
    </row>
    <row r="267" spans="1:3">
      <c r="A267" s="454" t="s">
        <v>179</v>
      </c>
      <c r="B267" s="454" t="s">
        <v>534</v>
      </c>
      <c r="C267" s="455">
        <v>2825</v>
      </c>
    </row>
    <row r="268" spans="1:3">
      <c r="A268" s="454" t="s">
        <v>179</v>
      </c>
      <c r="B268" s="454" t="s">
        <v>535</v>
      </c>
      <c r="C268" s="455">
        <v>219</v>
      </c>
    </row>
    <row r="269" spans="1:3">
      <c r="A269" s="454" t="s">
        <v>179</v>
      </c>
      <c r="B269" s="454" t="s">
        <v>536</v>
      </c>
      <c r="C269" s="455" t="s">
        <v>919</v>
      </c>
    </row>
    <row r="270" spans="1:3">
      <c r="A270" s="454" t="s">
        <v>179</v>
      </c>
      <c r="B270" s="454" t="s">
        <v>537</v>
      </c>
      <c r="C270" s="455">
        <v>1200</v>
      </c>
    </row>
    <row r="271" spans="1:3">
      <c r="A271" s="454" t="s">
        <v>179</v>
      </c>
      <c r="B271" s="454" t="s">
        <v>538</v>
      </c>
      <c r="C271" s="455">
        <v>2145</v>
      </c>
    </row>
    <row r="272" spans="1:3">
      <c r="A272" s="454" t="s">
        <v>179</v>
      </c>
      <c r="B272" s="454" t="s">
        <v>539</v>
      </c>
      <c r="C272" s="455">
        <v>220</v>
      </c>
    </row>
    <row r="273" spans="1:3">
      <c r="A273" s="454" t="s">
        <v>179</v>
      </c>
      <c r="B273" s="454" t="s">
        <v>540</v>
      </c>
      <c r="C273" s="455" t="s">
        <v>981</v>
      </c>
    </row>
    <row r="274" spans="1:3">
      <c r="A274" s="454" t="s">
        <v>179</v>
      </c>
      <c r="B274" s="454" t="s">
        <v>541</v>
      </c>
      <c r="C274" s="455">
        <v>1450</v>
      </c>
    </row>
    <row r="275" spans="1:3">
      <c r="A275" s="454" t="s">
        <v>179</v>
      </c>
      <c r="B275" s="454" t="s">
        <v>542</v>
      </c>
      <c r="C275" s="455">
        <v>2795</v>
      </c>
    </row>
    <row r="276" spans="1:3">
      <c r="A276" s="454" t="s">
        <v>179</v>
      </c>
      <c r="B276" s="454" t="s">
        <v>543</v>
      </c>
      <c r="C276" s="455">
        <v>221</v>
      </c>
    </row>
    <row r="277" spans="1:3">
      <c r="A277" s="454" t="s">
        <v>179</v>
      </c>
      <c r="B277" s="454" t="s">
        <v>544</v>
      </c>
      <c r="C277" s="455" t="s">
        <v>920</v>
      </c>
    </row>
    <row r="278" spans="1:3">
      <c r="A278" s="454" t="s">
        <v>179</v>
      </c>
      <c r="B278" s="454" t="s">
        <v>545</v>
      </c>
      <c r="C278" s="455">
        <v>1200</v>
      </c>
    </row>
    <row r="279" spans="1:3">
      <c r="A279" s="454" t="s">
        <v>179</v>
      </c>
      <c r="B279" s="454" t="s">
        <v>546</v>
      </c>
      <c r="C279" s="455">
        <v>2395</v>
      </c>
    </row>
    <row r="280" spans="1:3">
      <c r="A280" s="454" t="s">
        <v>179</v>
      </c>
      <c r="B280" s="454" t="s">
        <v>547</v>
      </c>
      <c r="C280" s="455">
        <v>222</v>
      </c>
    </row>
    <row r="281" spans="1:3">
      <c r="A281" s="454" t="s">
        <v>179</v>
      </c>
      <c r="B281" s="454" t="s">
        <v>548</v>
      </c>
      <c r="C281" s="455" t="s">
        <v>919</v>
      </c>
    </row>
    <row r="282" spans="1:3">
      <c r="A282" s="454" t="s">
        <v>179</v>
      </c>
      <c r="B282" s="454" t="s">
        <v>549</v>
      </c>
      <c r="C282" s="455">
        <v>1200</v>
      </c>
    </row>
    <row r="283" spans="1:3">
      <c r="A283" s="454" t="s">
        <v>179</v>
      </c>
      <c r="B283" s="454" t="s">
        <v>550</v>
      </c>
      <c r="C283" s="455">
        <v>2185</v>
      </c>
    </row>
    <row r="284" spans="1:3">
      <c r="A284" s="454" t="s">
        <v>179</v>
      </c>
      <c r="B284" s="454" t="s">
        <v>551</v>
      </c>
      <c r="C284" s="455">
        <v>223</v>
      </c>
    </row>
    <row r="285" spans="1:3">
      <c r="A285" s="454" t="s">
        <v>179</v>
      </c>
      <c r="B285" s="454" t="s">
        <v>552</v>
      </c>
      <c r="C285" s="455" t="s">
        <v>920</v>
      </c>
    </row>
    <row r="286" spans="1:3">
      <c r="A286" s="454" t="s">
        <v>179</v>
      </c>
      <c r="B286" s="454" t="s">
        <v>553</v>
      </c>
      <c r="C286" s="455">
        <v>1200</v>
      </c>
    </row>
    <row r="287" spans="1:3">
      <c r="A287" s="454" t="s">
        <v>179</v>
      </c>
      <c r="B287" s="454" t="s">
        <v>554</v>
      </c>
      <c r="C287" s="455">
        <v>2200</v>
      </c>
    </row>
    <row r="288" spans="1:3">
      <c r="A288" s="454" t="s">
        <v>179</v>
      </c>
      <c r="B288" s="454" t="s">
        <v>555</v>
      </c>
      <c r="C288" s="455">
        <v>224</v>
      </c>
    </row>
    <row r="289" spans="1:3">
      <c r="A289" s="454" t="s">
        <v>179</v>
      </c>
      <c r="B289" s="454" t="s">
        <v>556</v>
      </c>
      <c r="C289" s="455" t="s">
        <v>981</v>
      </c>
    </row>
    <row r="290" spans="1:3">
      <c r="A290" s="454" t="s">
        <v>179</v>
      </c>
      <c r="B290" s="454" t="s">
        <v>557</v>
      </c>
      <c r="C290" s="455">
        <v>1450</v>
      </c>
    </row>
    <row r="291" spans="1:3">
      <c r="A291" s="454" t="s">
        <v>179</v>
      </c>
      <c r="B291" s="454" t="s">
        <v>558</v>
      </c>
      <c r="C291" s="455">
        <v>2592</v>
      </c>
    </row>
    <row r="292" spans="1:3">
      <c r="A292" s="454" t="s">
        <v>179</v>
      </c>
      <c r="B292" s="454" t="s">
        <v>559</v>
      </c>
      <c r="C292" s="455">
        <v>225</v>
      </c>
    </row>
    <row r="293" spans="1:3">
      <c r="A293" s="454" t="s">
        <v>179</v>
      </c>
      <c r="B293" s="454" t="s">
        <v>560</v>
      </c>
      <c r="C293" s="455" t="s">
        <v>919</v>
      </c>
    </row>
    <row r="294" spans="1:3">
      <c r="A294" s="454" t="s">
        <v>179</v>
      </c>
      <c r="B294" s="454" t="s">
        <v>561</v>
      </c>
      <c r="C294" s="455">
        <v>1200</v>
      </c>
    </row>
    <row r="295" spans="1:3">
      <c r="A295" s="454" t="s">
        <v>179</v>
      </c>
      <c r="B295" s="454" t="s">
        <v>562</v>
      </c>
      <c r="C295" s="455">
        <v>2115</v>
      </c>
    </row>
    <row r="296" spans="1:3">
      <c r="A296" s="454" t="s">
        <v>179</v>
      </c>
      <c r="B296" s="454" t="s">
        <v>563</v>
      </c>
      <c r="C296" s="455">
        <v>226</v>
      </c>
    </row>
    <row r="297" spans="1:3">
      <c r="A297" s="454" t="s">
        <v>179</v>
      </c>
      <c r="B297" s="454" t="s">
        <v>564</v>
      </c>
      <c r="C297" s="455" t="s">
        <v>919</v>
      </c>
    </row>
    <row r="298" spans="1:3">
      <c r="A298" s="454" t="s">
        <v>179</v>
      </c>
      <c r="B298" s="454" t="s">
        <v>565</v>
      </c>
      <c r="C298" s="455">
        <v>1200</v>
      </c>
    </row>
    <row r="299" spans="1:3">
      <c r="A299" s="454" t="s">
        <v>179</v>
      </c>
      <c r="B299" s="454" t="s">
        <v>566</v>
      </c>
      <c r="C299" s="455">
        <v>2350</v>
      </c>
    </row>
    <row r="300" spans="1:3">
      <c r="A300" s="454" t="s">
        <v>179</v>
      </c>
      <c r="B300" s="454" t="s">
        <v>567</v>
      </c>
      <c r="C300" s="455">
        <v>227</v>
      </c>
    </row>
    <row r="301" spans="1:3">
      <c r="A301" s="454" t="s">
        <v>179</v>
      </c>
      <c r="B301" s="454" t="s">
        <v>568</v>
      </c>
      <c r="C301" s="455" t="s">
        <v>919</v>
      </c>
    </row>
    <row r="302" spans="1:3">
      <c r="A302" s="454" t="s">
        <v>179</v>
      </c>
      <c r="B302" s="454" t="s">
        <v>569</v>
      </c>
      <c r="C302" s="455">
        <v>1200</v>
      </c>
    </row>
    <row r="303" spans="1:3">
      <c r="A303" s="454" t="s">
        <v>179</v>
      </c>
      <c r="B303" s="454" t="s">
        <v>570</v>
      </c>
      <c r="C303" s="455">
        <v>2025</v>
      </c>
    </row>
    <row r="304" spans="1:3">
      <c r="A304" s="454" t="s">
        <v>179</v>
      </c>
      <c r="B304" s="454" t="s">
        <v>571</v>
      </c>
      <c r="C304" s="455">
        <v>228</v>
      </c>
    </row>
    <row r="305" spans="1:3">
      <c r="A305" s="454" t="s">
        <v>179</v>
      </c>
      <c r="B305" s="454" t="s">
        <v>572</v>
      </c>
      <c r="C305" s="455" t="s">
        <v>919</v>
      </c>
    </row>
    <row r="306" spans="1:3">
      <c r="A306" s="454" t="s">
        <v>179</v>
      </c>
      <c r="B306" s="454" t="s">
        <v>573</v>
      </c>
      <c r="C306" s="455">
        <v>1200</v>
      </c>
    </row>
    <row r="307" spans="1:3">
      <c r="A307" s="454" t="s">
        <v>179</v>
      </c>
      <c r="B307" s="454" t="s">
        <v>574</v>
      </c>
      <c r="C307" s="455">
        <v>2295</v>
      </c>
    </row>
    <row r="308" spans="1:3">
      <c r="A308" s="454" t="s">
        <v>179</v>
      </c>
      <c r="B308" s="454" t="s">
        <v>575</v>
      </c>
      <c r="C308" s="455">
        <v>229</v>
      </c>
    </row>
    <row r="309" spans="1:3">
      <c r="A309" s="454" t="s">
        <v>179</v>
      </c>
      <c r="B309" s="454" t="s">
        <v>576</v>
      </c>
      <c r="C309" s="455" t="s">
        <v>919</v>
      </c>
    </row>
    <row r="310" spans="1:3">
      <c r="A310" s="454" t="s">
        <v>179</v>
      </c>
      <c r="B310" s="454" t="s">
        <v>577</v>
      </c>
      <c r="C310" s="455">
        <v>1200</v>
      </c>
    </row>
    <row r="311" spans="1:3">
      <c r="A311" s="454" t="s">
        <v>179</v>
      </c>
      <c r="B311" s="454" t="s">
        <v>578</v>
      </c>
      <c r="C311" s="455">
        <v>2250</v>
      </c>
    </row>
    <row r="312" spans="1:3">
      <c r="A312" s="454" t="s">
        <v>179</v>
      </c>
      <c r="B312" s="454" t="s">
        <v>579</v>
      </c>
      <c r="C312" s="455">
        <v>230</v>
      </c>
    </row>
    <row r="313" spans="1:3">
      <c r="A313" s="454" t="s">
        <v>179</v>
      </c>
      <c r="B313" s="454" t="s">
        <v>580</v>
      </c>
      <c r="C313" s="455" t="s">
        <v>920</v>
      </c>
    </row>
    <row r="314" spans="1:3">
      <c r="A314" s="454" t="s">
        <v>179</v>
      </c>
      <c r="B314" s="454" t="s">
        <v>581</v>
      </c>
      <c r="C314" s="455">
        <v>1200</v>
      </c>
    </row>
    <row r="315" spans="1:3">
      <c r="A315" s="454" t="s">
        <v>179</v>
      </c>
      <c r="B315" s="454" t="s">
        <v>582</v>
      </c>
      <c r="C315" s="455">
        <v>2350</v>
      </c>
    </row>
    <row r="316" spans="1:3">
      <c r="A316" s="454" t="s">
        <v>179</v>
      </c>
      <c r="B316" s="454" t="s">
        <v>583</v>
      </c>
      <c r="C316" s="455">
        <v>231</v>
      </c>
    </row>
    <row r="317" spans="1:3">
      <c r="A317" s="454" t="s">
        <v>179</v>
      </c>
      <c r="B317" s="454" t="s">
        <v>584</v>
      </c>
      <c r="C317" s="455" t="s">
        <v>920</v>
      </c>
    </row>
    <row r="318" spans="1:3">
      <c r="A318" s="454" t="s">
        <v>179</v>
      </c>
      <c r="B318" s="454" t="s">
        <v>585</v>
      </c>
      <c r="C318" s="455">
        <v>1200</v>
      </c>
    </row>
    <row r="319" spans="1:3">
      <c r="A319" s="454" t="s">
        <v>179</v>
      </c>
      <c r="B319" s="454" t="s">
        <v>586</v>
      </c>
      <c r="C319" s="455">
        <v>2425</v>
      </c>
    </row>
    <row r="320" spans="1:3">
      <c r="A320" s="454" t="s">
        <v>179</v>
      </c>
      <c r="B320" s="454" t="s">
        <v>587</v>
      </c>
      <c r="C320" s="455">
        <v>232</v>
      </c>
    </row>
    <row r="321" spans="1:3">
      <c r="A321" s="454" t="s">
        <v>179</v>
      </c>
      <c r="B321" s="454" t="s">
        <v>588</v>
      </c>
      <c r="C321" s="455" t="s">
        <v>927</v>
      </c>
    </row>
    <row r="322" spans="1:3">
      <c r="A322" s="454" t="s">
        <v>179</v>
      </c>
      <c r="B322" s="454" t="s">
        <v>589</v>
      </c>
      <c r="C322" s="455">
        <v>1450</v>
      </c>
    </row>
    <row r="323" spans="1:3">
      <c r="A323" s="454" t="s">
        <v>179</v>
      </c>
      <c r="B323" s="454" t="s">
        <v>590</v>
      </c>
      <c r="C323" s="455">
        <v>2795</v>
      </c>
    </row>
    <row r="324" spans="1:3">
      <c r="A324" s="454" t="s">
        <v>179</v>
      </c>
      <c r="B324" s="454" t="s">
        <v>591</v>
      </c>
      <c r="C324" s="455">
        <v>233</v>
      </c>
    </row>
    <row r="325" spans="1:3">
      <c r="A325" s="454" t="s">
        <v>179</v>
      </c>
      <c r="B325" s="454" t="s">
        <v>592</v>
      </c>
      <c r="C325" s="455" t="s">
        <v>979</v>
      </c>
    </row>
    <row r="326" spans="1:3">
      <c r="A326" s="454" t="s">
        <v>179</v>
      </c>
      <c r="B326" s="454" t="s">
        <v>593</v>
      </c>
      <c r="C326" s="455">
        <v>1350</v>
      </c>
    </row>
    <row r="327" spans="1:3">
      <c r="A327" s="454" t="s">
        <v>179</v>
      </c>
      <c r="B327" s="454" t="s">
        <v>594</v>
      </c>
      <c r="C327" s="455">
        <v>2750</v>
      </c>
    </row>
    <row r="328" spans="1:3">
      <c r="A328" s="454" t="s">
        <v>179</v>
      </c>
      <c r="B328" s="454" t="s">
        <v>595</v>
      </c>
      <c r="C328" s="455">
        <v>1725</v>
      </c>
    </row>
    <row r="329" spans="1:3">
      <c r="A329" s="454" t="s">
        <v>179</v>
      </c>
      <c r="B329" s="454" t="s">
        <v>597</v>
      </c>
      <c r="C329" s="455">
        <v>1725</v>
      </c>
    </row>
    <row r="330" spans="1:3">
      <c r="A330" s="454" t="s">
        <v>179</v>
      </c>
      <c r="B330" s="454" t="s">
        <v>599</v>
      </c>
      <c r="C330" s="455">
        <v>2200</v>
      </c>
    </row>
    <row r="331" spans="1:3">
      <c r="A331" s="454" t="s">
        <v>179</v>
      </c>
      <c r="B331" s="454" t="s">
        <v>601</v>
      </c>
      <c r="C331" s="455">
        <v>1725</v>
      </c>
    </row>
    <row r="332" spans="1:3">
      <c r="A332" s="454" t="s">
        <v>179</v>
      </c>
      <c r="B332" s="454" t="s">
        <v>603</v>
      </c>
      <c r="C332" s="455">
        <v>2200</v>
      </c>
    </row>
    <row r="333" spans="1:3">
      <c r="A333" s="454" t="s">
        <v>179</v>
      </c>
      <c r="B333" s="454" t="s">
        <v>605</v>
      </c>
      <c r="C333" s="455">
        <v>1725</v>
      </c>
    </row>
    <row r="334" spans="1:3">
      <c r="A334" s="454" t="s">
        <v>179</v>
      </c>
      <c r="B334" s="454" t="s">
        <v>607</v>
      </c>
      <c r="C334" s="455">
        <v>2200</v>
      </c>
    </row>
    <row r="335" spans="1:3">
      <c r="A335" s="454" t="s">
        <v>179</v>
      </c>
      <c r="B335" s="454" t="s">
        <v>609</v>
      </c>
      <c r="C335" s="455">
        <v>2200</v>
      </c>
    </row>
    <row r="336" spans="1:3">
      <c r="A336" s="454" t="s">
        <v>179</v>
      </c>
      <c r="B336" s="454" t="s">
        <v>611</v>
      </c>
      <c r="C336" s="455">
        <v>1725</v>
      </c>
    </row>
    <row r="337" spans="1:3">
      <c r="A337" s="454" t="s">
        <v>179</v>
      </c>
      <c r="B337" s="454" t="s">
        <v>613</v>
      </c>
      <c r="C337" s="455">
        <v>1725</v>
      </c>
    </row>
    <row r="338" spans="1:3">
      <c r="A338" s="454" t="s">
        <v>179</v>
      </c>
      <c r="B338" s="454" t="s">
        <v>615</v>
      </c>
      <c r="C338" s="455">
        <v>2200</v>
      </c>
    </row>
    <row r="339" spans="1:3">
      <c r="A339" s="454" t="s">
        <v>179</v>
      </c>
      <c r="B339" s="454" t="s">
        <v>617</v>
      </c>
      <c r="C339" s="455">
        <v>1725</v>
      </c>
    </row>
    <row r="340" spans="1:3">
      <c r="A340" s="454" t="s">
        <v>179</v>
      </c>
      <c r="B340" s="454" t="s">
        <v>619</v>
      </c>
      <c r="C340" s="455">
        <v>2200</v>
      </c>
    </row>
    <row r="341" spans="1:3">
      <c r="A341" s="454" t="s">
        <v>179</v>
      </c>
      <c r="B341" s="454" t="s">
        <v>621</v>
      </c>
      <c r="C341" s="455">
        <v>1725</v>
      </c>
    </row>
    <row r="342" spans="1:3">
      <c r="A342" s="454" t="s">
        <v>179</v>
      </c>
      <c r="B342" s="454" t="s">
        <v>623</v>
      </c>
      <c r="C342" s="455">
        <v>2200</v>
      </c>
    </row>
    <row r="343" spans="1:3">
      <c r="A343" s="454" t="s">
        <v>179</v>
      </c>
      <c r="B343" s="454" t="s">
        <v>625</v>
      </c>
      <c r="C343" s="455">
        <v>1725</v>
      </c>
    </row>
    <row r="344" spans="1:3">
      <c r="A344" s="454" t="s">
        <v>179</v>
      </c>
      <c r="B344" s="454" t="s">
        <v>627</v>
      </c>
      <c r="C344" s="455">
        <v>2200</v>
      </c>
    </row>
    <row r="345" spans="1:3">
      <c r="A345" s="454" t="s">
        <v>179</v>
      </c>
      <c r="B345" s="454" t="s">
        <v>629</v>
      </c>
      <c r="C345" s="455">
        <v>2200</v>
      </c>
    </row>
    <row r="346" spans="1:3">
      <c r="A346" s="454" t="s">
        <v>179</v>
      </c>
      <c r="B346" s="454" t="s">
        <v>631</v>
      </c>
      <c r="C346" s="455">
        <v>2200</v>
      </c>
    </row>
    <row r="347" spans="1:3">
      <c r="A347" s="454" t="s">
        <v>179</v>
      </c>
      <c r="B347" s="454" t="s">
        <v>633</v>
      </c>
      <c r="C347" s="455">
        <v>1725</v>
      </c>
    </row>
    <row r="348" spans="1:3">
      <c r="A348" s="454" t="s">
        <v>179</v>
      </c>
      <c r="B348" s="454" t="s">
        <v>635</v>
      </c>
      <c r="C348" s="455">
        <v>2200</v>
      </c>
    </row>
    <row r="349" spans="1:3">
      <c r="A349" s="454" t="s">
        <v>179</v>
      </c>
      <c r="B349" s="454" t="s">
        <v>637</v>
      </c>
      <c r="C349" s="455">
        <v>1725</v>
      </c>
    </row>
    <row r="350" spans="1:3">
      <c r="A350" s="454" t="s">
        <v>179</v>
      </c>
      <c r="B350" s="454" t="s">
        <v>639</v>
      </c>
      <c r="C350" s="455">
        <v>1725</v>
      </c>
    </row>
    <row r="351" spans="1:3">
      <c r="A351" s="454" t="s">
        <v>179</v>
      </c>
      <c r="B351" s="454" t="s">
        <v>641</v>
      </c>
      <c r="C351" s="455">
        <v>2200</v>
      </c>
    </row>
    <row r="352" spans="1:3">
      <c r="A352" s="454" t="s">
        <v>179</v>
      </c>
      <c r="B352" s="454" t="s">
        <v>643</v>
      </c>
      <c r="C352" s="455">
        <v>1725</v>
      </c>
    </row>
    <row r="353" spans="1:3">
      <c r="A353" s="454" t="s">
        <v>179</v>
      </c>
      <c r="B353" s="454" t="s">
        <v>216</v>
      </c>
      <c r="C353" s="455">
        <v>1725</v>
      </c>
    </row>
    <row r="354" spans="1:3">
      <c r="A354" s="454" t="s">
        <v>179</v>
      </c>
      <c r="B354" s="454" t="s">
        <v>645</v>
      </c>
      <c r="C354" s="455">
        <v>1725</v>
      </c>
    </row>
    <row r="355" spans="1:3">
      <c r="A355" s="454" t="s">
        <v>179</v>
      </c>
      <c r="B355" s="454" t="s">
        <v>647</v>
      </c>
      <c r="C355" s="455">
        <v>2850</v>
      </c>
    </row>
    <row r="356" spans="1:3">
      <c r="A356" s="454" t="s">
        <v>179</v>
      </c>
      <c r="B356" s="454" t="s">
        <v>649</v>
      </c>
      <c r="C356" s="455">
        <v>2975</v>
      </c>
    </row>
    <row r="357" spans="1:3">
      <c r="A357" s="454" t="s">
        <v>179</v>
      </c>
      <c r="B357" s="454" t="s">
        <v>651</v>
      </c>
      <c r="C357" s="455">
        <v>2850</v>
      </c>
    </row>
    <row r="358" spans="1:3">
      <c r="A358" s="454" t="s">
        <v>179</v>
      </c>
      <c r="B358" s="454" t="s">
        <v>653</v>
      </c>
      <c r="C358" s="455">
        <v>2975</v>
      </c>
    </row>
    <row r="359" spans="1:3">
      <c r="A359" s="454" t="s">
        <v>179</v>
      </c>
      <c r="B359" s="454" t="s">
        <v>655</v>
      </c>
      <c r="C359" s="455">
        <v>2850</v>
      </c>
    </row>
    <row r="360" spans="1:3">
      <c r="A360" s="454" t="s">
        <v>179</v>
      </c>
      <c r="B360" s="454" t="s">
        <v>657</v>
      </c>
      <c r="C360" s="455">
        <v>2850</v>
      </c>
    </row>
    <row r="361" spans="1:3">
      <c r="A361" s="454" t="s">
        <v>179</v>
      </c>
      <c r="B361" s="454" t="s">
        <v>659</v>
      </c>
      <c r="C361" s="455">
        <v>2850</v>
      </c>
    </row>
    <row r="362" spans="1:3">
      <c r="A362" s="454" t="s">
        <v>179</v>
      </c>
      <c r="B362" s="454" t="s">
        <v>661</v>
      </c>
      <c r="C362" s="455">
        <v>2975</v>
      </c>
    </row>
    <row r="363" spans="1:3">
      <c r="A363" s="454" t="s">
        <v>179</v>
      </c>
      <c r="B363" s="454" t="s">
        <v>663</v>
      </c>
      <c r="C363" s="455">
        <v>2850</v>
      </c>
    </row>
    <row r="364" spans="1:3">
      <c r="A364" s="454" t="s">
        <v>179</v>
      </c>
      <c r="B364" s="454" t="s">
        <v>665</v>
      </c>
      <c r="C364" s="455">
        <v>2450</v>
      </c>
    </row>
    <row r="365" spans="1:3">
      <c r="A365" s="454" t="s">
        <v>179</v>
      </c>
      <c r="B365" s="454" t="s">
        <v>667</v>
      </c>
      <c r="C365" s="455">
        <v>2450</v>
      </c>
    </row>
    <row r="366" spans="1:3">
      <c r="A366" s="454" t="s">
        <v>179</v>
      </c>
      <c r="B366" s="454" t="s">
        <v>669</v>
      </c>
      <c r="C366" s="455">
        <v>2450</v>
      </c>
    </row>
    <row r="367" spans="1:3">
      <c r="A367" s="454" t="s">
        <v>179</v>
      </c>
      <c r="B367" s="454" t="s">
        <v>671</v>
      </c>
      <c r="C367" s="455">
        <v>2450</v>
      </c>
    </row>
    <row r="368" spans="1:3">
      <c r="A368" s="454" t="s">
        <v>179</v>
      </c>
      <c r="B368" s="454" t="s">
        <v>673</v>
      </c>
      <c r="C368" s="455">
        <v>2450</v>
      </c>
    </row>
    <row r="369" spans="1:3">
      <c r="A369" s="454" t="s">
        <v>179</v>
      </c>
      <c r="B369" s="454" t="s">
        <v>675</v>
      </c>
      <c r="C369" s="455">
        <v>2975</v>
      </c>
    </row>
    <row r="370" spans="1:3">
      <c r="A370" s="454" t="s">
        <v>179</v>
      </c>
      <c r="B370" s="454" t="s">
        <v>677</v>
      </c>
      <c r="C370" s="455">
        <v>2450</v>
      </c>
    </row>
    <row r="371" spans="1:3">
      <c r="A371" s="454" t="s">
        <v>179</v>
      </c>
      <c r="B371" s="454" t="s">
        <v>679</v>
      </c>
      <c r="C371" s="455">
        <v>2450</v>
      </c>
    </row>
    <row r="372" spans="1:3">
      <c r="A372" s="454" t="s">
        <v>179</v>
      </c>
      <c r="B372" s="454" t="s">
        <v>681</v>
      </c>
      <c r="C372" s="455">
        <v>2975</v>
      </c>
    </row>
    <row r="373" spans="1:3">
      <c r="A373" s="454" t="s">
        <v>179</v>
      </c>
      <c r="B373" s="454" t="s">
        <v>683</v>
      </c>
      <c r="C373" s="455">
        <v>2450</v>
      </c>
    </row>
    <row r="374" spans="1:3">
      <c r="A374" s="454" t="s">
        <v>179</v>
      </c>
      <c r="B374" s="454" t="s">
        <v>685</v>
      </c>
      <c r="C374" s="455">
        <v>2975</v>
      </c>
    </row>
    <row r="375" spans="1:3">
      <c r="A375" s="454" t="s">
        <v>179</v>
      </c>
      <c r="B375" s="454" t="s">
        <v>687</v>
      </c>
      <c r="C375" s="455">
        <v>2450</v>
      </c>
    </row>
    <row r="376" spans="1:3">
      <c r="A376" s="454" t="s">
        <v>179</v>
      </c>
      <c r="B376" s="454" t="s">
        <v>689</v>
      </c>
      <c r="C376" s="455">
        <v>2450</v>
      </c>
    </row>
    <row r="377" spans="1:3">
      <c r="A377" s="454" t="s">
        <v>179</v>
      </c>
      <c r="B377" s="454" t="s">
        <v>691</v>
      </c>
      <c r="C377" s="455">
        <v>2450</v>
      </c>
    </row>
    <row r="378" spans="1:3">
      <c r="A378" s="454" t="s">
        <v>179</v>
      </c>
      <c r="B378" s="454" t="s">
        <v>693</v>
      </c>
      <c r="C378" s="455">
        <v>2975</v>
      </c>
    </row>
    <row r="379" spans="1:3">
      <c r="A379" s="454" t="s">
        <v>179</v>
      </c>
      <c r="B379" s="454" t="s">
        <v>695</v>
      </c>
      <c r="C379" s="455">
        <v>2450</v>
      </c>
    </row>
    <row r="380" spans="1:3">
      <c r="A380" s="454" t="s">
        <v>179</v>
      </c>
      <c r="B380" s="454" t="s">
        <v>697</v>
      </c>
      <c r="C380" s="455">
        <v>2450</v>
      </c>
    </row>
    <row r="381" spans="1:3">
      <c r="A381" s="454" t="s">
        <v>179</v>
      </c>
      <c r="B381" s="454" t="s">
        <v>699</v>
      </c>
      <c r="C381" s="455">
        <v>2450</v>
      </c>
    </row>
    <row r="382" spans="1:3">
      <c r="A382" s="454" t="s">
        <v>179</v>
      </c>
      <c r="B382" s="454" t="s">
        <v>701</v>
      </c>
      <c r="C382" s="455">
        <v>2450</v>
      </c>
    </row>
    <row r="383" spans="1:3">
      <c r="A383" s="454" t="s">
        <v>179</v>
      </c>
      <c r="B383" s="454" t="s">
        <v>703</v>
      </c>
      <c r="C383" s="455">
        <v>2450</v>
      </c>
    </row>
    <row r="384" spans="1:3">
      <c r="A384" s="454" t="s">
        <v>179</v>
      </c>
      <c r="B384" s="454" t="s">
        <v>705</v>
      </c>
      <c r="C384" s="455">
        <v>2450</v>
      </c>
    </row>
    <row r="385" spans="1:3">
      <c r="A385" s="454" t="s">
        <v>179</v>
      </c>
      <c r="B385" s="454" t="s">
        <v>707</v>
      </c>
      <c r="C385" s="455">
        <v>2450</v>
      </c>
    </row>
    <row r="386" spans="1:3">
      <c r="A386" s="454" t="s">
        <v>179</v>
      </c>
      <c r="B386" s="454" t="s">
        <v>709</v>
      </c>
      <c r="C386" s="455">
        <v>2975</v>
      </c>
    </row>
    <row r="387" spans="1:3">
      <c r="A387" s="454" t="s">
        <v>179</v>
      </c>
      <c r="B387" s="454" t="s">
        <v>711</v>
      </c>
      <c r="C387" s="455">
        <v>2850</v>
      </c>
    </row>
    <row r="388" spans="1:3">
      <c r="A388" s="454" t="s">
        <v>185</v>
      </c>
      <c r="B388" s="454" t="s">
        <v>717</v>
      </c>
      <c r="C388" s="455" t="s">
        <v>145</v>
      </c>
    </row>
    <row r="389" spans="1:3" ht="45">
      <c r="A389" s="454" t="s">
        <v>185</v>
      </c>
      <c r="B389" s="454" t="s">
        <v>169</v>
      </c>
      <c r="C389" s="458" t="s">
        <v>718</v>
      </c>
    </row>
    <row r="390" spans="1:3">
      <c r="A390" s="454" t="s">
        <v>191</v>
      </c>
      <c r="B390" s="454" t="s">
        <v>723</v>
      </c>
      <c r="C390" s="455" t="s">
        <v>724</v>
      </c>
    </row>
    <row r="391" spans="1:3">
      <c r="A391" s="454" t="s">
        <v>191</v>
      </c>
      <c r="B391" s="454" t="s">
        <v>725</v>
      </c>
      <c r="C391" s="455" t="s">
        <v>726</v>
      </c>
    </row>
    <row r="392" spans="1:3">
      <c r="A392" s="454" t="s">
        <v>191</v>
      </c>
      <c r="B392" s="454" t="s">
        <v>727</v>
      </c>
      <c r="C392" s="455" t="s">
        <v>728</v>
      </c>
    </row>
    <row r="393" spans="1:3">
      <c r="A393" s="454" t="s">
        <v>191</v>
      </c>
      <c r="B393" s="454" t="s">
        <v>210</v>
      </c>
      <c r="C393" s="455" t="s">
        <v>78</v>
      </c>
    </row>
    <row r="394" spans="1:3">
      <c r="A394" s="454" t="s">
        <v>191</v>
      </c>
      <c r="B394" s="454" t="s">
        <v>204</v>
      </c>
      <c r="C394" s="455" t="s">
        <v>729</v>
      </c>
    </row>
    <row r="395" spans="1:3">
      <c r="A395" s="454" t="s">
        <v>191</v>
      </c>
      <c r="B395" s="454" t="s">
        <v>732</v>
      </c>
    </row>
    <row r="396" spans="1:3">
      <c r="A396" s="454" t="s">
        <v>191</v>
      </c>
      <c r="B396" s="454" t="s">
        <v>734</v>
      </c>
      <c r="C396" s="455">
        <v>0</v>
      </c>
    </row>
    <row r="397" spans="1:3">
      <c r="A397" s="454" t="s">
        <v>191</v>
      </c>
      <c r="B397" s="454" t="s">
        <v>735</v>
      </c>
      <c r="C397" s="455">
        <v>0</v>
      </c>
    </row>
    <row r="398" spans="1:3">
      <c r="A398" s="454" t="s">
        <v>191</v>
      </c>
      <c r="B398" s="454" t="s">
        <v>736</v>
      </c>
      <c r="C398" s="455">
        <v>0</v>
      </c>
    </row>
    <row r="399" spans="1:3">
      <c r="A399" s="454" t="s">
        <v>191</v>
      </c>
      <c r="B399" s="454" t="s">
        <v>737</v>
      </c>
      <c r="C399" s="455">
        <v>0</v>
      </c>
    </row>
    <row r="400" spans="1:3">
      <c r="A400" s="454" t="s">
        <v>191</v>
      </c>
      <c r="B400" s="454" t="s">
        <v>738</v>
      </c>
      <c r="C400" s="455">
        <v>0</v>
      </c>
    </row>
    <row r="401" spans="1:3">
      <c r="A401" s="454" t="s">
        <v>191</v>
      </c>
      <c r="B401" s="454" t="s">
        <v>739</v>
      </c>
      <c r="C401" s="455">
        <v>0</v>
      </c>
    </row>
    <row r="402" spans="1:3">
      <c r="A402" s="454" t="s">
        <v>191</v>
      </c>
      <c r="B402" s="454" t="s">
        <v>740</v>
      </c>
      <c r="C402" s="455">
        <v>0.05</v>
      </c>
    </row>
    <row r="403" spans="1:3">
      <c r="A403" s="454" t="s">
        <v>191</v>
      </c>
      <c r="B403" s="454" t="s">
        <v>742</v>
      </c>
    </row>
    <row r="404" spans="1:3">
      <c r="A404" s="454" t="s">
        <v>191</v>
      </c>
      <c r="B404" s="454" t="s">
        <v>743</v>
      </c>
    </row>
    <row r="405" spans="1:3">
      <c r="A405" s="454" t="s">
        <v>191</v>
      </c>
      <c r="B405" s="454" t="s">
        <v>246</v>
      </c>
      <c r="C405" s="455">
        <v>0</v>
      </c>
    </row>
    <row r="406" spans="1:3">
      <c r="A406" s="454" t="s">
        <v>191</v>
      </c>
      <c r="B406" s="454" t="s">
        <v>744</v>
      </c>
      <c r="C406" s="455">
        <v>0</v>
      </c>
    </row>
    <row r="407" spans="1:3">
      <c r="A407" s="454" t="s">
        <v>191</v>
      </c>
      <c r="B407" s="454" t="s">
        <v>745</v>
      </c>
      <c r="C407" s="455">
        <v>0</v>
      </c>
    </row>
    <row r="408" spans="1:3">
      <c r="A408" s="454" t="s">
        <v>191</v>
      </c>
      <c r="B408" s="454" t="s">
        <v>746</v>
      </c>
      <c r="C408" s="455">
        <v>0.05</v>
      </c>
    </row>
    <row r="409" spans="1:3">
      <c r="A409" s="454" t="s">
        <v>191</v>
      </c>
      <c r="B409" s="454" t="s">
        <v>241</v>
      </c>
      <c r="C409" s="455">
        <v>0.05</v>
      </c>
    </row>
    <row r="410" spans="1:3">
      <c r="A410" s="454" t="s">
        <v>191</v>
      </c>
      <c r="B410" s="454" t="s">
        <v>748</v>
      </c>
    </row>
    <row r="411" spans="1:3">
      <c r="A411" s="454" t="s">
        <v>191</v>
      </c>
      <c r="B411" s="454" t="s">
        <v>226</v>
      </c>
      <c r="C411" s="455" t="s">
        <v>750</v>
      </c>
    </row>
    <row r="412" spans="1:3">
      <c r="A412" s="454" t="s">
        <v>191</v>
      </c>
      <c r="B412" s="454" t="s">
        <v>259</v>
      </c>
      <c r="C412" s="455">
        <v>0</v>
      </c>
    </row>
    <row r="413" spans="1:3">
      <c r="A413" s="454" t="s">
        <v>191</v>
      </c>
      <c r="B413" s="454" t="s">
        <v>262</v>
      </c>
      <c r="C413" s="455" t="s">
        <v>751</v>
      </c>
    </row>
    <row r="414" spans="1:3">
      <c r="A414" s="454" t="s">
        <v>191</v>
      </c>
      <c r="B414" s="454" t="s">
        <v>266</v>
      </c>
      <c r="C414" s="455">
        <v>0</v>
      </c>
    </row>
    <row r="415" spans="1:3">
      <c r="A415" s="454" t="s">
        <v>191</v>
      </c>
      <c r="B415" s="454" t="s">
        <v>228</v>
      </c>
      <c r="C415" s="455" t="s">
        <v>752</v>
      </c>
    </row>
    <row r="416" spans="1:3">
      <c r="A416" s="454" t="s">
        <v>191</v>
      </c>
      <c r="B416" s="454" t="s">
        <v>425</v>
      </c>
      <c r="C416" s="455">
        <v>0</v>
      </c>
    </row>
    <row r="417" spans="1:3">
      <c r="A417" s="454" t="s">
        <v>191</v>
      </c>
      <c r="B417" s="454" t="s">
        <v>753</v>
      </c>
      <c r="C417" s="455">
        <v>0</v>
      </c>
    </row>
    <row r="418" spans="1:3">
      <c r="A418" s="454" t="s">
        <v>191</v>
      </c>
      <c r="B418" s="454" t="s">
        <v>754</v>
      </c>
      <c r="C418" s="455">
        <v>0</v>
      </c>
    </row>
    <row r="419" spans="1:3">
      <c r="A419" s="454" t="s">
        <v>191</v>
      </c>
      <c r="B419" s="454" t="s">
        <v>755</v>
      </c>
      <c r="C419" s="455">
        <v>0</v>
      </c>
    </row>
    <row r="420" spans="1:3">
      <c r="A420" s="454" t="s">
        <v>191</v>
      </c>
      <c r="B420" s="454" t="s">
        <v>756</v>
      </c>
      <c r="C420" s="455">
        <v>0</v>
      </c>
    </row>
    <row r="421" spans="1:3">
      <c r="A421" s="454" t="s">
        <v>191</v>
      </c>
      <c r="B421" s="454" t="s">
        <v>596</v>
      </c>
      <c r="C421" s="455">
        <v>0</v>
      </c>
    </row>
    <row r="422" spans="1:3">
      <c r="A422" s="454" t="s">
        <v>191</v>
      </c>
      <c r="B422" s="454" t="s">
        <v>598</v>
      </c>
      <c r="C422" s="455">
        <v>0</v>
      </c>
    </row>
    <row r="423" spans="1:3">
      <c r="A423" s="454" t="s">
        <v>191</v>
      </c>
      <c r="B423" s="454" t="s">
        <v>757</v>
      </c>
      <c r="C423" s="455">
        <v>-1500</v>
      </c>
    </row>
    <row r="424" spans="1:3">
      <c r="A424" s="454" t="s">
        <v>191</v>
      </c>
      <c r="B424" s="454" t="s">
        <v>758</v>
      </c>
      <c r="C424" s="455">
        <v>-3945</v>
      </c>
    </row>
    <row r="425" spans="1:3">
      <c r="A425" s="454" t="s">
        <v>191</v>
      </c>
      <c r="B425" s="454" t="s">
        <v>759</v>
      </c>
      <c r="C425" s="455">
        <v>-1500</v>
      </c>
    </row>
    <row r="426" spans="1:3">
      <c r="A426" s="454" t="s">
        <v>191</v>
      </c>
      <c r="B426" s="454" t="s">
        <v>760</v>
      </c>
      <c r="C426" s="455">
        <v>1E-3</v>
      </c>
    </row>
    <row r="427" spans="1:3">
      <c r="A427" s="454" t="s">
        <v>191</v>
      </c>
      <c r="B427" s="454" t="s">
        <v>762</v>
      </c>
    </row>
    <row r="428" spans="1:3">
      <c r="A428" s="454" t="s">
        <v>191</v>
      </c>
      <c r="B428" s="454" t="s">
        <v>183</v>
      </c>
      <c r="C428" s="455">
        <v>3.0000000000000001E-3</v>
      </c>
    </row>
    <row r="429" spans="1:3">
      <c r="A429" s="454" t="s">
        <v>191</v>
      </c>
      <c r="B429" s="454" t="s">
        <v>764</v>
      </c>
    </row>
    <row r="430" spans="1:3">
      <c r="A430" s="454" t="s">
        <v>191</v>
      </c>
      <c r="B430" s="454" t="s">
        <v>765</v>
      </c>
      <c r="C430" s="455">
        <v>1E-3</v>
      </c>
    </row>
    <row r="431" spans="1:3">
      <c r="A431" s="454" t="s">
        <v>191</v>
      </c>
      <c r="B431" s="454" t="s">
        <v>767</v>
      </c>
    </row>
    <row r="432" spans="1:3">
      <c r="A432" s="454" t="s">
        <v>191</v>
      </c>
      <c r="B432" s="454" t="s">
        <v>768</v>
      </c>
    </row>
    <row r="433" spans="1:3">
      <c r="A433" s="454" t="s">
        <v>191</v>
      </c>
      <c r="B433" s="454" t="s">
        <v>769</v>
      </c>
    </row>
    <row r="434" spans="1:3">
      <c r="A434" s="454" t="s">
        <v>191</v>
      </c>
      <c r="B434" s="454" t="s">
        <v>770</v>
      </c>
      <c r="C434" s="455" t="s">
        <v>771</v>
      </c>
    </row>
    <row r="435" spans="1:3">
      <c r="A435" s="454" t="s">
        <v>191</v>
      </c>
      <c r="B435" s="454" t="s">
        <v>445</v>
      </c>
      <c r="C435" s="455">
        <v>0</v>
      </c>
    </row>
    <row r="436" spans="1:3">
      <c r="A436" s="454" t="s">
        <v>191</v>
      </c>
      <c r="B436" s="454" t="s">
        <v>269</v>
      </c>
      <c r="C436" s="455" t="s">
        <v>772</v>
      </c>
    </row>
    <row r="437" spans="1:3">
      <c r="A437" s="454" t="s">
        <v>191</v>
      </c>
      <c r="B437" s="454" t="s">
        <v>273</v>
      </c>
      <c r="C437" s="455">
        <v>0</v>
      </c>
    </row>
    <row r="438" spans="1:3">
      <c r="A438" s="454" t="s">
        <v>191</v>
      </c>
      <c r="B438" s="454" t="s">
        <v>773</v>
      </c>
      <c r="C438" s="455">
        <v>0</v>
      </c>
    </row>
    <row r="439" spans="1:3">
      <c r="A439" s="454" t="s">
        <v>191</v>
      </c>
      <c r="B439" s="454" t="s">
        <v>774</v>
      </c>
      <c r="C439" s="455">
        <v>0</v>
      </c>
    </row>
    <row r="440" spans="1:3">
      <c r="A440" s="454" t="s">
        <v>191</v>
      </c>
      <c r="B440" s="454" t="s">
        <v>608</v>
      </c>
      <c r="C440" s="455">
        <v>0</v>
      </c>
    </row>
    <row r="441" spans="1:3">
      <c r="A441" s="454" t="s">
        <v>191</v>
      </c>
      <c r="B441" s="454" t="s">
        <v>610</v>
      </c>
      <c r="C441" s="455">
        <v>0</v>
      </c>
    </row>
    <row r="442" spans="1:3">
      <c r="A442" s="454" t="s">
        <v>191</v>
      </c>
      <c r="B442" s="454" t="s">
        <v>775</v>
      </c>
      <c r="C442" s="455">
        <v>7500</v>
      </c>
    </row>
    <row r="443" spans="1:3">
      <c r="A443" s="454" t="s">
        <v>191</v>
      </c>
      <c r="B443" s="454" t="s">
        <v>776</v>
      </c>
      <c r="C443" s="455">
        <v>70000</v>
      </c>
    </row>
    <row r="444" spans="1:3">
      <c r="A444" s="454" t="s">
        <v>191</v>
      </c>
      <c r="B444" s="454" t="s">
        <v>777</v>
      </c>
      <c r="C444" s="455">
        <v>7500</v>
      </c>
    </row>
    <row r="445" spans="1:3">
      <c r="A445" s="454" t="s">
        <v>191</v>
      </c>
      <c r="B445" s="454" t="s">
        <v>778</v>
      </c>
      <c r="C445" s="455">
        <v>70000</v>
      </c>
    </row>
    <row r="446" spans="1:3">
      <c r="A446" s="454" t="s">
        <v>191</v>
      </c>
      <c r="B446" s="454" t="s">
        <v>780</v>
      </c>
    </row>
    <row r="447" spans="1:3">
      <c r="A447" s="454" t="s">
        <v>191</v>
      </c>
      <c r="B447" s="454" t="s">
        <v>782</v>
      </c>
    </row>
    <row r="448" spans="1:3">
      <c r="A448" s="454" t="s">
        <v>191</v>
      </c>
      <c r="B448" s="454" t="s">
        <v>454</v>
      </c>
      <c r="C448" s="455">
        <v>0</v>
      </c>
    </row>
    <row r="449" spans="1:3">
      <c r="A449" s="454" t="s">
        <v>191</v>
      </c>
      <c r="B449" s="454" t="s">
        <v>458</v>
      </c>
      <c r="C449" s="455">
        <v>0</v>
      </c>
    </row>
    <row r="450" spans="1:3">
      <c r="A450" s="454" t="s">
        <v>191</v>
      </c>
      <c r="B450" s="454" t="s">
        <v>783</v>
      </c>
      <c r="C450" s="455" t="s">
        <v>784</v>
      </c>
    </row>
    <row r="451" spans="1:3">
      <c r="A451" s="454" t="s">
        <v>191</v>
      </c>
      <c r="B451" s="454" t="s">
        <v>462</v>
      </c>
      <c r="C451" s="455">
        <v>0</v>
      </c>
    </row>
    <row r="452" spans="1:3">
      <c r="A452" s="454" t="s">
        <v>191</v>
      </c>
      <c r="B452" s="454" t="s">
        <v>785</v>
      </c>
      <c r="C452" s="455" t="s">
        <v>786</v>
      </c>
    </row>
    <row r="453" spans="1:3">
      <c r="A453" s="454" t="s">
        <v>191</v>
      </c>
      <c r="B453" s="454" t="s">
        <v>466</v>
      </c>
      <c r="C453" s="455">
        <v>0</v>
      </c>
    </row>
    <row r="454" spans="1:3">
      <c r="A454" s="454" t="s">
        <v>191</v>
      </c>
      <c r="B454" s="454" t="s">
        <v>787</v>
      </c>
      <c r="C454" s="455" t="s">
        <v>788</v>
      </c>
    </row>
    <row r="455" spans="1:3">
      <c r="A455" s="454" t="s">
        <v>191</v>
      </c>
      <c r="B455" s="454" t="s">
        <v>470</v>
      </c>
      <c r="C455" s="455">
        <v>0</v>
      </c>
    </row>
    <row r="456" spans="1:3">
      <c r="A456" s="454" t="s">
        <v>191</v>
      </c>
      <c r="B456" s="454" t="s">
        <v>789</v>
      </c>
      <c r="C456" s="455" t="s">
        <v>790</v>
      </c>
    </row>
    <row r="457" spans="1:3">
      <c r="A457" s="454" t="s">
        <v>191</v>
      </c>
      <c r="B457" s="454" t="s">
        <v>474</v>
      </c>
      <c r="C457" s="455">
        <v>0</v>
      </c>
    </row>
    <row r="458" spans="1:3">
      <c r="A458" s="454" t="s">
        <v>191</v>
      </c>
      <c r="B458" s="454" t="s">
        <v>303</v>
      </c>
      <c r="C458" s="455" t="s">
        <v>791</v>
      </c>
    </row>
    <row r="459" spans="1:3">
      <c r="A459" s="454" t="s">
        <v>191</v>
      </c>
      <c r="B459" s="454" t="s">
        <v>307</v>
      </c>
      <c r="C459" s="455">
        <v>0</v>
      </c>
    </row>
    <row r="460" spans="1:3">
      <c r="A460" s="454" t="s">
        <v>191</v>
      </c>
      <c r="B460" s="454" t="s">
        <v>310</v>
      </c>
      <c r="C460" s="455" t="s">
        <v>792</v>
      </c>
    </row>
    <row r="461" spans="1:3">
      <c r="A461" s="454" t="s">
        <v>191</v>
      </c>
      <c r="B461" s="454" t="s">
        <v>314</v>
      </c>
      <c r="C461" s="455">
        <v>0</v>
      </c>
    </row>
    <row r="462" spans="1:3">
      <c r="A462" s="454" t="s">
        <v>191</v>
      </c>
      <c r="B462" s="454" t="s">
        <v>317</v>
      </c>
      <c r="C462" s="455" t="s">
        <v>793</v>
      </c>
    </row>
    <row r="463" spans="1:3">
      <c r="A463" s="454" t="s">
        <v>191</v>
      </c>
      <c r="B463" s="454" t="s">
        <v>321</v>
      </c>
      <c r="C463" s="455">
        <v>0</v>
      </c>
    </row>
    <row r="464" spans="1:3">
      <c r="A464" s="454" t="s">
        <v>191</v>
      </c>
      <c r="B464" s="454" t="s">
        <v>324</v>
      </c>
      <c r="C464" s="455" t="s">
        <v>794</v>
      </c>
    </row>
    <row r="465" spans="1:3">
      <c r="A465" s="454" t="s">
        <v>191</v>
      </c>
      <c r="B465" s="454" t="s">
        <v>328</v>
      </c>
      <c r="C465" s="455">
        <v>0</v>
      </c>
    </row>
    <row r="466" spans="1:3">
      <c r="A466" s="454" t="s">
        <v>191</v>
      </c>
      <c r="B466" s="454" t="s">
        <v>331</v>
      </c>
      <c r="C466" s="455" t="s">
        <v>795</v>
      </c>
    </row>
    <row r="467" spans="1:3">
      <c r="A467" s="454" t="s">
        <v>191</v>
      </c>
      <c r="B467" s="454" t="s">
        <v>335</v>
      </c>
      <c r="C467" s="455">
        <v>0</v>
      </c>
    </row>
    <row r="468" spans="1:3">
      <c r="A468" s="454" t="s">
        <v>191</v>
      </c>
      <c r="B468" s="454" t="s">
        <v>796</v>
      </c>
      <c r="C468" s="455" t="s">
        <v>797</v>
      </c>
    </row>
    <row r="469" spans="1:3">
      <c r="A469" s="454" t="s">
        <v>191</v>
      </c>
      <c r="B469" s="454" t="s">
        <v>483</v>
      </c>
      <c r="C469" s="455">
        <v>0</v>
      </c>
    </row>
    <row r="470" spans="1:3">
      <c r="A470" s="454" t="s">
        <v>191</v>
      </c>
      <c r="B470" s="454" t="s">
        <v>798</v>
      </c>
      <c r="C470" s="455" t="s">
        <v>799</v>
      </c>
    </row>
    <row r="471" spans="1:3">
      <c r="A471" s="454" t="s">
        <v>191</v>
      </c>
      <c r="B471" s="454" t="s">
        <v>487</v>
      </c>
      <c r="C471" s="455">
        <v>0</v>
      </c>
    </row>
    <row r="472" spans="1:3">
      <c r="A472" s="454" t="s">
        <v>191</v>
      </c>
      <c r="B472" s="454" t="s">
        <v>800</v>
      </c>
      <c r="C472" s="455">
        <v>290549</v>
      </c>
    </row>
    <row r="473" spans="1:3">
      <c r="A473" s="454" t="s">
        <v>191</v>
      </c>
      <c r="B473" s="454" t="s">
        <v>801</v>
      </c>
      <c r="C473" s="455">
        <v>25845</v>
      </c>
    </row>
    <row r="474" spans="1:3">
      <c r="A474" s="454" t="s">
        <v>191</v>
      </c>
      <c r="B474" s="454" t="s">
        <v>802</v>
      </c>
      <c r="C474" s="455">
        <v>35000</v>
      </c>
    </row>
    <row r="475" spans="1:3">
      <c r="A475" s="454" t="s">
        <v>191</v>
      </c>
      <c r="B475" s="454" t="s">
        <v>803</v>
      </c>
      <c r="C475" s="455">
        <v>16000</v>
      </c>
    </row>
    <row r="476" spans="1:3">
      <c r="A476" s="454" t="s">
        <v>191</v>
      </c>
      <c r="B476" s="454" t="s">
        <v>804</v>
      </c>
      <c r="C476" s="455">
        <v>14000</v>
      </c>
    </row>
    <row r="477" spans="1:3">
      <c r="A477" s="454" t="s">
        <v>191</v>
      </c>
      <c r="B477" s="454" t="s">
        <v>805</v>
      </c>
      <c r="C477" s="455">
        <v>14000</v>
      </c>
    </row>
    <row r="478" spans="1:3">
      <c r="A478" s="454" t="s">
        <v>191</v>
      </c>
      <c r="B478" s="454" t="s">
        <v>806</v>
      </c>
      <c r="C478" s="455">
        <v>22500</v>
      </c>
    </row>
    <row r="479" spans="1:3">
      <c r="A479" s="454" t="s">
        <v>191</v>
      </c>
      <c r="B479" s="454" t="s">
        <v>807</v>
      </c>
      <c r="C479" s="455">
        <v>22531</v>
      </c>
    </row>
    <row r="480" spans="1:3">
      <c r="A480" s="454" t="s">
        <v>191</v>
      </c>
      <c r="B480" s="454" t="s">
        <v>808</v>
      </c>
      <c r="C480" s="455">
        <v>1500</v>
      </c>
    </row>
    <row r="481" spans="1:3">
      <c r="A481" s="454" t="s">
        <v>191</v>
      </c>
      <c r="B481" s="454" t="s">
        <v>809</v>
      </c>
      <c r="C481" s="455">
        <v>51000</v>
      </c>
    </row>
    <row r="482" spans="1:3">
      <c r="A482" s="454" t="s">
        <v>191</v>
      </c>
      <c r="B482" s="454" t="s">
        <v>810</v>
      </c>
      <c r="C482" s="455">
        <v>12000</v>
      </c>
    </row>
    <row r="483" spans="1:3">
      <c r="A483" s="454" t="s">
        <v>191</v>
      </c>
      <c r="B483" s="454" t="s">
        <v>811</v>
      </c>
      <c r="C483" s="455">
        <v>6000</v>
      </c>
    </row>
    <row r="484" spans="1:3">
      <c r="A484" s="454" t="s">
        <v>191</v>
      </c>
      <c r="B484" s="454" t="s">
        <v>812</v>
      </c>
      <c r="C484" s="455">
        <v>5000</v>
      </c>
    </row>
    <row r="485" spans="1:3">
      <c r="A485" s="454" t="s">
        <v>191</v>
      </c>
      <c r="B485" s="454" t="s">
        <v>813</v>
      </c>
      <c r="C485" s="455">
        <v>10000</v>
      </c>
    </row>
    <row r="486" spans="1:3">
      <c r="A486" s="454" t="s">
        <v>191</v>
      </c>
      <c r="B486" s="454" t="s">
        <v>814</v>
      </c>
      <c r="C486" s="455">
        <v>299265</v>
      </c>
    </row>
    <row r="487" spans="1:3">
      <c r="A487" s="454" t="s">
        <v>191</v>
      </c>
      <c r="B487" s="454" t="s">
        <v>815</v>
      </c>
      <c r="C487" s="455">
        <v>25845</v>
      </c>
    </row>
    <row r="488" spans="1:3">
      <c r="A488" s="454" t="s">
        <v>191</v>
      </c>
      <c r="B488" s="454" t="s">
        <v>816</v>
      </c>
      <c r="C488" s="455">
        <v>36050</v>
      </c>
    </row>
    <row r="489" spans="1:3">
      <c r="A489" s="454" t="s">
        <v>191</v>
      </c>
      <c r="B489" s="454" t="s">
        <v>817</v>
      </c>
      <c r="C489" s="455">
        <v>16480</v>
      </c>
    </row>
    <row r="490" spans="1:3">
      <c r="A490" s="454" t="s">
        <v>191</v>
      </c>
      <c r="B490" s="454" t="s">
        <v>818</v>
      </c>
      <c r="C490" s="455">
        <v>14420</v>
      </c>
    </row>
    <row r="491" spans="1:3">
      <c r="A491" s="454" t="s">
        <v>191</v>
      </c>
      <c r="B491" s="454" t="s">
        <v>819</v>
      </c>
      <c r="C491" s="455">
        <v>14420</v>
      </c>
    </row>
    <row r="492" spans="1:3">
      <c r="A492" s="454" t="s">
        <v>191</v>
      </c>
      <c r="B492" s="454" t="s">
        <v>820</v>
      </c>
      <c r="C492" s="455">
        <v>23175</v>
      </c>
    </row>
    <row r="493" spans="1:3">
      <c r="A493" s="454" t="s">
        <v>191</v>
      </c>
      <c r="B493" s="454" t="s">
        <v>821</v>
      </c>
      <c r="C493" s="455">
        <v>23207</v>
      </c>
    </row>
    <row r="494" spans="1:3">
      <c r="A494" s="454" t="s">
        <v>191</v>
      </c>
      <c r="B494" s="454" t="s">
        <v>822</v>
      </c>
      <c r="C494" s="455">
        <v>1545</v>
      </c>
    </row>
    <row r="495" spans="1:3">
      <c r="A495" s="454" t="s">
        <v>191</v>
      </c>
      <c r="B495" s="454" t="s">
        <v>823</v>
      </c>
      <c r="C495" s="455">
        <v>52530</v>
      </c>
    </row>
    <row r="496" spans="1:3">
      <c r="A496" s="454" t="s">
        <v>191</v>
      </c>
      <c r="B496" s="454" t="s">
        <v>824</v>
      </c>
      <c r="C496" s="455">
        <v>12360</v>
      </c>
    </row>
    <row r="497" spans="1:3">
      <c r="A497" s="454" t="s">
        <v>191</v>
      </c>
      <c r="B497" s="454" t="s">
        <v>825</v>
      </c>
      <c r="C497" s="455">
        <v>6180</v>
      </c>
    </row>
    <row r="498" spans="1:3">
      <c r="A498" s="454" t="s">
        <v>191</v>
      </c>
      <c r="B498" s="454" t="s">
        <v>826</v>
      </c>
      <c r="C498" s="455">
        <v>5150</v>
      </c>
    </row>
    <row r="499" spans="1:3">
      <c r="A499" s="454" t="s">
        <v>191</v>
      </c>
      <c r="B499" s="454" t="s">
        <v>827</v>
      </c>
      <c r="C499" s="455">
        <v>10300</v>
      </c>
    </row>
    <row r="500" spans="1:3">
      <c r="A500" s="454" t="s">
        <v>191</v>
      </c>
      <c r="B500" s="454" t="s">
        <v>829</v>
      </c>
      <c r="C500" s="455">
        <v>1</v>
      </c>
    </row>
    <row r="501" spans="1:3">
      <c r="A501" s="454" t="s">
        <v>191</v>
      </c>
      <c r="B501" s="454" t="s">
        <v>831</v>
      </c>
      <c r="C501" s="455">
        <v>2</v>
      </c>
    </row>
    <row r="502" spans="1:3">
      <c r="A502" s="454" t="s">
        <v>191</v>
      </c>
      <c r="B502" s="454" t="s">
        <v>833</v>
      </c>
    </row>
    <row r="503" spans="1:3">
      <c r="A503" s="454" t="s">
        <v>191</v>
      </c>
      <c r="B503" s="454" t="s">
        <v>835</v>
      </c>
    </row>
    <row r="504" spans="1:3">
      <c r="A504" s="454" t="s">
        <v>191</v>
      </c>
      <c r="B504" s="454" t="s">
        <v>837</v>
      </c>
    </row>
    <row r="505" spans="1:3">
      <c r="A505" s="454" t="s">
        <v>191</v>
      </c>
      <c r="B505" s="454" t="s">
        <v>839</v>
      </c>
    </row>
    <row r="506" spans="1:3">
      <c r="A506" s="454" t="s">
        <v>191</v>
      </c>
      <c r="B506" s="454" t="s">
        <v>841</v>
      </c>
    </row>
    <row r="507" spans="1:3">
      <c r="A507" s="454" t="s">
        <v>191</v>
      </c>
      <c r="B507" s="454" t="s">
        <v>843</v>
      </c>
    </row>
    <row r="508" spans="1:3">
      <c r="A508" s="454" t="s">
        <v>191</v>
      </c>
      <c r="B508" s="454" t="s">
        <v>845</v>
      </c>
    </row>
    <row r="509" spans="1:3">
      <c r="A509" s="454" t="s">
        <v>191</v>
      </c>
      <c r="B509" s="454" t="s">
        <v>847</v>
      </c>
    </row>
    <row r="510" spans="1:3">
      <c r="A510" s="454" t="s">
        <v>191</v>
      </c>
      <c r="B510" s="454" t="s">
        <v>849</v>
      </c>
    </row>
    <row r="511" spans="1:3">
      <c r="A511" s="454" t="s">
        <v>191</v>
      </c>
      <c r="B511" s="454" t="s">
        <v>851</v>
      </c>
    </row>
    <row r="512" spans="1:3">
      <c r="A512" s="454" t="s">
        <v>191</v>
      </c>
      <c r="B512" s="454" t="s">
        <v>853</v>
      </c>
    </row>
    <row r="513" spans="1:3">
      <c r="A513" s="454" t="s">
        <v>191</v>
      </c>
      <c r="B513" s="454" t="s">
        <v>855</v>
      </c>
      <c r="C513" s="455">
        <v>3</v>
      </c>
    </row>
    <row r="514" spans="1:3">
      <c r="A514" s="454" t="s">
        <v>191</v>
      </c>
      <c r="B514" s="454" t="s">
        <v>209</v>
      </c>
      <c r="C514" s="455">
        <v>0</v>
      </c>
    </row>
    <row r="515" spans="1:3">
      <c r="A515" s="454" t="s">
        <v>191</v>
      </c>
      <c r="B515" s="454" t="s">
        <v>491</v>
      </c>
      <c r="C515" s="455">
        <v>0</v>
      </c>
    </row>
    <row r="516" spans="1:3">
      <c r="A516" s="454" t="s">
        <v>191</v>
      </c>
      <c r="B516" s="454" t="s">
        <v>856</v>
      </c>
      <c r="C516" s="455">
        <v>0</v>
      </c>
    </row>
    <row r="517" spans="1:3">
      <c r="A517" s="454" t="s">
        <v>191</v>
      </c>
      <c r="B517" s="454" t="s">
        <v>857</v>
      </c>
      <c r="C517" s="455">
        <v>0</v>
      </c>
    </row>
    <row r="518" spans="1:3">
      <c r="A518" s="454" t="s">
        <v>191</v>
      </c>
      <c r="B518" s="454" t="s">
        <v>858</v>
      </c>
      <c r="C518" s="455">
        <v>0</v>
      </c>
    </row>
    <row r="519" spans="1:3">
      <c r="A519" s="454" t="s">
        <v>191</v>
      </c>
      <c r="B519" s="454" t="s">
        <v>859</v>
      </c>
      <c r="C519" s="455">
        <v>0</v>
      </c>
    </row>
    <row r="520" spans="1:3">
      <c r="A520" s="454" t="s">
        <v>191</v>
      </c>
      <c r="B520" s="454" t="s">
        <v>860</v>
      </c>
      <c r="C520" s="455">
        <v>0</v>
      </c>
    </row>
    <row r="521" spans="1:3">
      <c r="A521" s="454" t="s">
        <v>191</v>
      </c>
      <c r="B521" s="454" t="s">
        <v>861</v>
      </c>
      <c r="C521" s="455">
        <v>0</v>
      </c>
    </row>
    <row r="522" spans="1:3">
      <c r="A522" s="454" t="s">
        <v>191</v>
      </c>
      <c r="B522" s="454" t="s">
        <v>862</v>
      </c>
      <c r="C522" s="455">
        <v>0</v>
      </c>
    </row>
    <row r="523" spans="1:3">
      <c r="A523" s="454" t="s">
        <v>191</v>
      </c>
      <c r="B523" s="454" t="s">
        <v>863</v>
      </c>
      <c r="C523" s="455">
        <v>0</v>
      </c>
    </row>
    <row r="524" spans="1:3">
      <c r="A524" s="454" t="s">
        <v>191</v>
      </c>
      <c r="B524" s="454" t="s">
        <v>864</v>
      </c>
      <c r="C524" s="455">
        <v>0</v>
      </c>
    </row>
    <row r="525" spans="1:3">
      <c r="A525" s="454" t="s">
        <v>191</v>
      </c>
      <c r="B525" s="454" t="s">
        <v>865</v>
      </c>
      <c r="C525" s="455">
        <v>0</v>
      </c>
    </row>
    <row r="526" spans="1:3">
      <c r="A526" s="454" t="s">
        <v>191</v>
      </c>
      <c r="B526" s="454" t="s">
        <v>866</v>
      </c>
      <c r="C526" s="455">
        <v>0</v>
      </c>
    </row>
    <row r="527" spans="1:3">
      <c r="A527" s="454" t="s">
        <v>191</v>
      </c>
      <c r="B527" s="454" t="s">
        <v>867</v>
      </c>
      <c r="C527" s="455">
        <v>0</v>
      </c>
    </row>
    <row r="528" spans="1:3">
      <c r="A528" s="454" t="s">
        <v>191</v>
      </c>
      <c r="B528" s="454" t="s">
        <v>868</v>
      </c>
      <c r="C528" s="455">
        <v>0</v>
      </c>
    </row>
    <row r="529" spans="1:3">
      <c r="A529" s="454" t="s">
        <v>191</v>
      </c>
      <c r="B529" s="454" t="s">
        <v>214</v>
      </c>
      <c r="C529" s="455">
        <v>0</v>
      </c>
    </row>
    <row r="530" spans="1:3">
      <c r="A530" s="454" t="s">
        <v>191</v>
      </c>
      <c r="B530" s="454" t="s">
        <v>869</v>
      </c>
      <c r="C530" s="455">
        <v>0</v>
      </c>
    </row>
    <row r="531" spans="1:3">
      <c r="A531" s="454" t="s">
        <v>191</v>
      </c>
      <c r="B531" s="454" t="s">
        <v>620</v>
      </c>
      <c r="C531" s="455">
        <v>0</v>
      </c>
    </row>
    <row r="532" spans="1:3">
      <c r="A532" s="454" t="s">
        <v>191</v>
      </c>
      <c r="B532" s="454" t="s">
        <v>622</v>
      </c>
      <c r="C532" s="455">
        <v>0</v>
      </c>
    </row>
    <row r="533" spans="1:3">
      <c r="A533" s="454" t="s">
        <v>191</v>
      </c>
      <c r="B533" s="454" t="s">
        <v>624</v>
      </c>
      <c r="C533" s="455">
        <v>0</v>
      </c>
    </row>
    <row r="534" spans="1:3">
      <c r="A534" s="454" t="s">
        <v>191</v>
      </c>
      <c r="B534" s="454" t="s">
        <v>626</v>
      </c>
      <c r="C534" s="455">
        <v>0</v>
      </c>
    </row>
    <row r="535" spans="1:3">
      <c r="A535" s="454" t="s">
        <v>191</v>
      </c>
      <c r="B535" s="454" t="s">
        <v>628</v>
      </c>
      <c r="C535" s="455">
        <v>0</v>
      </c>
    </row>
    <row r="536" spans="1:3">
      <c r="A536" s="454" t="s">
        <v>191</v>
      </c>
      <c r="B536" s="454" t="s">
        <v>630</v>
      </c>
      <c r="C536" s="455">
        <v>0</v>
      </c>
    </row>
    <row r="537" spans="1:3">
      <c r="A537" s="454" t="s">
        <v>191</v>
      </c>
      <c r="B537" s="454" t="s">
        <v>632</v>
      </c>
      <c r="C537" s="455">
        <v>0</v>
      </c>
    </row>
    <row r="538" spans="1:3">
      <c r="A538" s="454" t="s">
        <v>191</v>
      </c>
      <c r="B538" s="454" t="s">
        <v>634</v>
      </c>
      <c r="C538" s="455">
        <v>0</v>
      </c>
    </row>
    <row r="539" spans="1:3">
      <c r="A539" s="454" t="s">
        <v>191</v>
      </c>
      <c r="B539" s="454" t="s">
        <v>636</v>
      </c>
      <c r="C539" s="455">
        <v>0</v>
      </c>
    </row>
    <row r="540" spans="1:3">
      <c r="A540" s="454" t="s">
        <v>191</v>
      </c>
      <c r="B540" s="454" t="s">
        <v>638</v>
      </c>
      <c r="C540" s="455">
        <v>0</v>
      </c>
    </row>
    <row r="541" spans="1:3">
      <c r="A541" s="454" t="s">
        <v>191</v>
      </c>
      <c r="B541" s="454" t="s">
        <v>640</v>
      </c>
      <c r="C541" s="455">
        <v>0</v>
      </c>
    </row>
    <row r="542" spans="1:3">
      <c r="A542" s="454" t="s">
        <v>191</v>
      </c>
      <c r="B542" s="454" t="s">
        <v>642</v>
      </c>
      <c r="C542" s="455">
        <v>0</v>
      </c>
    </row>
    <row r="543" spans="1:3">
      <c r="A543" s="454" t="s">
        <v>191</v>
      </c>
      <c r="B543" s="454" t="s">
        <v>644</v>
      </c>
      <c r="C543" s="455">
        <v>0</v>
      </c>
    </row>
    <row r="544" spans="1:3">
      <c r="A544" s="454" t="s">
        <v>191</v>
      </c>
      <c r="B544" s="454" t="s">
        <v>219</v>
      </c>
      <c r="C544" s="455">
        <v>0</v>
      </c>
    </row>
    <row r="545" spans="1:3">
      <c r="A545" s="454" t="s">
        <v>191</v>
      </c>
      <c r="B545" s="454" t="s">
        <v>646</v>
      </c>
      <c r="C545" s="455">
        <v>0</v>
      </c>
    </row>
    <row r="546" spans="1:3">
      <c r="A546" s="454" t="s">
        <v>191</v>
      </c>
      <c r="B546" s="454" t="s">
        <v>870</v>
      </c>
      <c r="C546" s="455">
        <v>2.9000000000000001E-2</v>
      </c>
    </row>
    <row r="547" spans="1:3">
      <c r="A547" s="454" t="s">
        <v>191</v>
      </c>
      <c r="B547" s="454" t="s">
        <v>871</v>
      </c>
      <c r="C547" s="455">
        <v>0.03</v>
      </c>
    </row>
    <row r="548" spans="1:3">
      <c r="A548" s="454" t="s">
        <v>191</v>
      </c>
      <c r="B548" s="454" t="s">
        <v>873</v>
      </c>
      <c r="C548" s="455">
        <v>4</v>
      </c>
    </row>
    <row r="549" spans="1:3">
      <c r="A549" s="454" t="s">
        <v>874</v>
      </c>
      <c r="B549" s="454" t="s">
        <v>875</v>
      </c>
      <c r="C549" s="455" t="s">
        <v>931</v>
      </c>
    </row>
    <row r="550" spans="1:3">
      <c r="A550" s="454" t="s">
        <v>874</v>
      </c>
      <c r="B550" s="454" t="s">
        <v>876</v>
      </c>
      <c r="C550" s="455" t="s">
        <v>932</v>
      </c>
    </row>
    <row r="551" spans="1:3">
      <c r="A551" s="454" t="s">
        <v>874</v>
      </c>
      <c r="B551" s="454" t="s">
        <v>877</v>
      </c>
      <c r="C551" s="455" t="s">
        <v>933</v>
      </c>
    </row>
    <row r="552" spans="1:3">
      <c r="A552" s="454" t="s">
        <v>874</v>
      </c>
      <c r="B552" s="454" t="s">
        <v>878</v>
      </c>
      <c r="C552" s="455" t="s">
        <v>934</v>
      </c>
    </row>
    <row r="553" spans="1:3">
      <c r="A553" s="454" t="s">
        <v>874</v>
      </c>
      <c r="B553" s="454" t="s">
        <v>237</v>
      </c>
    </row>
    <row r="554" spans="1:3">
      <c r="A554" s="454" t="s">
        <v>874</v>
      </c>
      <c r="B554" s="454" t="s">
        <v>243</v>
      </c>
    </row>
    <row r="555" spans="1:3">
      <c r="A555" s="454" t="s">
        <v>874</v>
      </c>
      <c r="B555" s="454" t="s">
        <v>248</v>
      </c>
    </row>
    <row r="556" spans="1:3">
      <c r="A556" s="454" t="s">
        <v>874</v>
      </c>
      <c r="B556" s="454" t="s">
        <v>255</v>
      </c>
    </row>
    <row r="557" spans="1:3">
      <c r="A557" s="454" t="s">
        <v>874</v>
      </c>
      <c r="B557" s="454" t="s">
        <v>261</v>
      </c>
    </row>
    <row r="558" spans="1:3">
      <c r="A558" s="454" t="s">
        <v>874</v>
      </c>
      <c r="B558" s="454" t="s">
        <v>879</v>
      </c>
    </row>
    <row r="559" spans="1:3">
      <c r="A559" s="454" t="s">
        <v>874</v>
      </c>
      <c r="B559" s="454" t="s">
        <v>880</v>
      </c>
    </row>
    <row r="560" spans="1:3">
      <c r="A560" s="454" t="s">
        <v>874</v>
      </c>
      <c r="B560" s="454" t="s">
        <v>881</v>
      </c>
    </row>
    <row r="561" spans="1:3">
      <c r="A561" s="454" t="s">
        <v>874</v>
      </c>
      <c r="B561" s="454" t="s">
        <v>882</v>
      </c>
    </row>
    <row r="562" spans="1:3">
      <c r="A562" s="454" t="s">
        <v>874</v>
      </c>
      <c r="B562" s="454" t="s">
        <v>883</v>
      </c>
    </row>
    <row r="563" spans="1:3">
      <c r="A563" s="454" t="s">
        <v>874</v>
      </c>
      <c r="B563" s="454" t="s">
        <v>884</v>
      </c>
    </row>
    <row r="564" spans="1:3">
      <c r="A564" s="454" t="s">
        <v>874</v>
      </c>
      <c r="B564" s="454" t="s">
        <v>268</v>
      </c>
    </row>
    <row r="565" spans="1:3">
      <c r="A565" s="454" t="s">
        <v>874</v>
      </c>
      <c r="B565" s="454" t="s">
        <v>275</v>
      </c>
    </row>
    <row r="566" spans="1:3">
      <c r="A566" s="454" t="s">
        <v>874</v>
      </c>
      <c r="B566" s="454" t="s">
        <v>282</v>
      </c>
    </row>
    <row r="567" spans="1:3">
      <c r="A567" s="454" t="s">
        <v>874</v>
      </c>
      <c r="B567" s="454" t="s">
        <v>289</v>
      </c>
    </row>
    <row r="568" spans="1:3">
      <c r="A568" s="454" t="s">
        <v>874</v>
      </c>
      <c r="B568" s="454" t="s">
        <v>296</v>
      </c>
    </row>
    <row r="569" spans="1:3">
      <c r="A569" s="454" t="s">
        <v>874</v>
      </c>
      <c r="B569" s="454" t="s">
        <v>885</v>
      </c>
    </row>
    <row r="570" spans="1:3">
      <c r="A570" s="454" t="s">
        <v>874</v>
      </c>
      <c r="B570" s="454" t="s">
        <v>886</v>
      </c>
    </row>
    <row r="571" spans="1:3">
      <c r="A571" s="454" t="s">
        <v>874</v>
      </c>
      <c r="B571" s="454" t="s">
        <v>887</v>
      </c>
    </row>
    <row r="572" spans="1:3">
      <c r="A572" s="454" t="s">
        <v>874</v>
      </c>
      <c r="B572" s="454" t="s">
        <v>888</v>
      </c>
    </row>
    <row r="573" spans="1:3">
      <c r="A573" s="454" t="s">
        <v>874</v>
      </c>
      <c r="B573" s="454" t="s">
        <v>889</v>
      </c>
    </row>
    <row r="574" spans="1:3">
      <c r="A574" s="454" t="s">
        <v>874</v>
      </c>
      <c r="B574" s="454" t="s">
        <v>890</v>
      </c>
    </row>
    <row r="575" spans="1:3">
      <c r="A575" s="454" t="s">
        <v>874</v>
      </c>
      <c r="B575" s="454" t="s">
        <v>302</v>
      </c>
    </row>
    <row r="576" spans="1:3">
      <c r="A576" s="454" t="s">
        <v>935</v>
      </c>
      <c r="B576" s="454" t="s">
        <v>936</v>
      </c>
      <c r="C576" s="455">
        <v>0.05</v>
      </c>
    </row>
    <row r="577" spans="1:3">
      <c r="A577" s="454" t="s">
        <v>935</v>
      </c>
      <c r="B577" s="454" t="s">
        <v>937</v>
      </c>
      <c r="C577" s="455">
        <v>0.04</v>
      </c>
    </row>
    <row r="578" spans="1:3">
      <c r="A578" s="454" t="s">
        <v>935</v>
      </c>
      <c r="B578" s="454" t="s">
        <v>938</v>
      </c>
      <c r="C578" s="455">
        <v>0.04</v>
      </c>
    </row>
    <row r="579" spans="1:3">
      <c r="A579" s="454" t="s">
        <v>935</v>
      </c>
      <c r="B579" s="454" t="s">
        <v>939</v>
      </c>
      <c r="C579" s="455">
        <v>0.03</v>
      </c>
    </row>
    <row r="580" spans="1:3">
      <c r="A580" s="454" t="s">
        <v>935</v>
      </c>
      <c r="B580" s="454" t="s">
        <v>940</v>
      </c>
      <c r="C580" s="455">
        <v>0.03</v>
      </c>
    </row>
    <row r="581" spans="1:3">
      <c r="A581" s="454" t="s">
        <v>935</v>
      </c>
      <c r="B581" s="454" t="s">
        <v>941</v>
      </c>
      <c r="C581" s="455">
        <v>0.03</v>
      </c>
    </row>
    <row r="582" spans="1:3">
      <c r="A582" s="454" t="s">
        <v>935</v>
      </c>
      <c r="B582" s="454" t="s">
        <v>942</v>
      </c>
      <c r="C582" s="455">
        <v>0.03</v>
      </c>
    </row>
    <row r="583" spans="1:3">
      <c r="A583" s="454" t="s">
        <v>935</v>
      </c>
      <c r="B583" s="454" t="s">
        <v>943</v>
      </c>
      <c r="C583" s="455">
        <v>0.03</v>
      </c>
    </row>
    <row r="584" spans="1:3">
      <c r="A584" s="454" t="s">
        <v>935</v>
      </c>
      <c r="B584" s="454" t="s">
        <v>944</v>
      </c>
      <c r="C584" s="455">
        <v>0.03</v>
      </c>
    </row>
    <row r="585" spans="1:3">
      <c r="A585" s="454" t="s">
        <v>935</v>
      </c>
      <c r="B585" s="454" t="s">
        <v>945</v>
      </c>
      <c r="C585" s="455">
        <v>0.02</v>
      </c>
    </row>
    <row r="586" spans="1:3">
      <c r="A586" s="454" t="s">
        <v>935</v>
      </c>
      <c r="B586" s="454" t="s">
        <v>222</v>
      </c>
      <c r="C586" s="455">
        <v>0.02</v>
      </c>
    </row>
    <row r="587" spans="1:3">
      <c r="A587" s="454" t="s">
        <v>935</v>
      </c>
      <c r="B587" s="454" t="s">
        <v>946</v>
      </c>
      <c r="C587" s="455">
        <v>0.01</v>
      </c>
    </row>
    <row r="588" spans="1:3">
      <c r="A588" s="454" t="s">
        <v>935</v>
      </c>
      <c r="B588" s="454" t="s">
        <v>947</v>
      </c>
      <c r="C588" s="455">
        <v>0.01</v>
      </c>
    </row>
    <row r="589" spans="1:3">
      <c r="A589" s="454" t="s">
        <v>935</v>
      </c>
      <c r="B589" s="454" t="s">
        <v>734</v>
      </c>
      <c r="C589" s="455">
        <v>0.01</v>
      </c>
    </row>
    <row r="590" spans="1:3">
      <c r="A590" s="454" t="s">
        <v>935</v>
      </c>
      <c r="B590" s="454" t="s">
        <v>948</v>
      </c>
      <c r="C590" s="455">
        <v>0.01</v>
      </c>
    </row>
    <row r="591" spans="1:3">
      <c r="A591" s="454" t="s">
        <v>935</v>
      </c>
      <c r="B591" s="454" t="s">
        <v>736</v>
      </c>
      <c r="C591" s="455">
        <v>0.01</v>
      </c>
    </row>
    <row r="592" spans="1:3">
      <c r="A592" s="454" t="s">
        <v>935</v>
      </c>
      <c r="B592" s="454" t="s">
        <v>949</v>
      </c>
      <c r="C592" s="455">
        <v>0.01</v>
      </c>
    </row>
    <row r="593" spans="1:3">
      <c r="A593" s="454" t="s">
        <v>935</v>
      </c>
      <c r="B593" s="454" t="s">
        <v>738</v>
      </c>
      <c r="C593" s="455">
        <v>0.01</v>
      </c>
    </row>
    <row r="594" spans="1:3">
      <c r="A594" s="454" t="s">
        <v>935</v>
      </c>
      <c r="B594" s="454" t="s">
        <v>950</v>
      </c>
      <c r="C594" s="455">
        <v>0.05</v>
      </c>
    </row>
    <row r="595" spans="1:3">
      <c r="A595" s="454" t="s">
        <v>935</v>
      </c>
      <c r="B595" s="454" t="s">
        <v>225</v>
      </c>
      <c r="C595" s="455">
        <v>0.05</v>
      </c>
    </row>
    <row r="596" spans="1:3">
      <c r="A596" s="454" t="s">
        <v>935</v>
      </c>
      <c r="B596" s="454" t="s">
        <v>951</v>
      </c>
      <c r="C596" s="455">
        <v>0.05</v>
      </c>
    </row>
    <row r="597" spans="1:3">
      <c r="A597" s="454" t="s">
        <v>935</v>
      </c>
      <c r="B597" s="454" t="s">
        <v>952</v>
      </c>
      <c r="C597" s="455">
        <v>0.03</v>
      </c>
    </row>
    <row r="598" spans="1:3">
      <c r="A598" s="454" t="s">
        <v>935</v>
      </c>
      <c r="B598" s="454" t="s">
        <v>735</v>
      </c>
      <c r="C598" s="455">
        <v>0.03</v>
      </c>
    </row>
    <row r="599" spans="1:3">
      <c r="A599" s="454" t="s">
        <v>935</v>
      </c>
      <c r="B599" s="454" t="s">
        <v>953</v>
      </c>
      <c r="C599" s="455">
        <v>0.03</v>
      </c>
    </row>
    <row r="600" spans="1:3">
      <c r="A600" s="454" t="s">
        <v>935</v>
      </c>
      <c r="B600" s="454" t="s">
        <v>737</v>
      </c>
      <c r="C600" s="455">
        <v>0.03</v>
      </c>
    </row>
    <row r="601" spans="1:3">
      <c r="A601" s="454" t="s">
        <v>935</v>
      </c>
      <c r="B601" s="454" t="s">
        <v>954</v>
      </c>
      <c r="C601" s="455">
        <v>0.03</v>
      </c>
    </row>
    <row r="602" spans="1:3">
      <c r="A602" s="454" t="s">
        <v>935</v>
      </c>
      <c r="B602" s="454" t="s">
        <v>739</v>
      </c>
      <c r="C602" s="455">
        <v>0.03</v>
      </c>
    </row>
    <row r="603" spans="1:3">
      <c r="A603" s="454" t="s">
        <v>935</v>
      </c>
      <c r="B603" s="454" t="s">
        <v>224</v>
      </c>
      <c r="C603" s="455">
        <v>1E-3</v>
      </c>
    </row>
    <row r="604" spans="1:3">
      <c r="A604" s="454" t="s">
        <v>935</v>
      </c>
      <c r="B604" s="454" t="s">
        <v>220</v>
      </c>
      <c r="C604" s="455">
        <v>1E-3</v>
      </c>
    </row>
    <row r="605" spans="1:3">
      <c r="A605" s="454" t="s">
        <v>935</v>
      </c>
      <c r="B605" s="454" t="s">
        <v>244</v>
      </c>
      <c r="C605" s="455">
        <v>1E-3</v>
      </c>
    </row>
    <row r="606" spans="1:3">
      <c r="A606" s="454" t="s">
        <v>935</v>
      </c>
      <c r="B606" s="454" t="s">
        <v>245</v>
      </c>
      <c r="C606" s="455">
        <v>1E-3</v>
      </c>
    </row>
    <row r="607" spans="1:3">
      <c r="A607" s="454" t="s">
        <v>935</v>
      </c>
      <c r="B607" s="454" t="s">
        <v>246</v>
      </c>
      <c r="C607" s="455">
        <v>1E-3</v>
      </c>
    </row>
    <row r="608" spans="1:3">
      <c r="A608" s="454" t="s">
        <v>935</v>
      </c>
      <c r="B608" s="454" t="s">
        <v>955</v>
      </c>
      <c r="C608" s="455">
        <v>1E-3</v>
      </c>
    </row>
    <row r="609" spans="1:3">
      <c r="A609" s="454" t="s">
        <v>935</v>
      </c>
      <c r="B609" s="454" t="s">
        <v>744</v>
      </c>
      <c r="C609" s="455">
        <v>1E-3</v>
      </c>
    </row>
    <row r="610" spans="1:3">
      <c r="A610" s="454" t="s">
        <v>935</v>
      </c>
      <c r="B610" s="454" t="s">
        <v>956</v>
      </c>
      <c r="C610" s="455">
        <v>1E-3</v>
      </c>
    </row>
    <row r="611" spans="1:3">
      <c r="A611" s="454" t="s">
        <v>935</v>
      </c>
      <c r="B611" s="454" t="s">
        <v>745</v>
      </c>
      <c r="C611" s="455">
        <v>1E-3</v>
      </c>
    </row>
    <row r="612" spans="1:3">
      <c r="A612" s="454" t="s">
        <v>935</v>
      </c>
      <c r="B612" s="454" t="s">
        <v>249</v>
      </c>
      <c r="C612" s="455">
        <v>3.0000000000000001E-3</v>
      </c>
    </row>
    <row r="613" spans="1:3">
      <c r="A613" s="454" t="s">
        <v>935</v>
      </c>
      <c r="B613" s="454" t="s">
        <v>250</v>
      </c>
      <c r="C613" s="455">
        <v>3.0000000000000001E-3</v>
      </c>
    </row>
    <row r="614" spans="1:3">
      <c r="A614" s="454" t="s">
        <v>935</v>
      </c>
      <c r="B614" s="454" t="s">
        <v>251</v>
      </c>
      <c r="C614" s="455">
        <v>3.0000000000000001E-3</v>
      </c>
    </row>
    <row r="615" spans="1:3">
      <c r="A615" s="454" t="s">
        <v>935</v>
      </c>
      <c r="B615" s="454" t="s">
        <v>252</v>
      </c>
      <c r="C615" s="455">
        <v>3.0000000000000001E-3</v>
      </c>
    </row>
    <row r="616" spans="1:3">
      <c r="A616" s="454" t="s">
        <v>935</v>
      </c>
      <c r="B616" s="454" t="s">
        <v>253</v>
      </c>
      <c r="C616" s="455">
        <v>3.0000000000000001E-3</v>
      </c>
    </row>
    <row r="617" spans="1:3">
      <c r="A617" s="454" t="s">
        <v>935</v>
      </c>
      <c r="B617" s="454" t="s">
        <v>957</v>
      </c>
      <c r="C617" s="455">
        <v>3.0000000000000001E-3</v>
      </c>
    </row>
    <row r="618" spans="1:3">
      <c r="A618" s="454" t="s">
        <v>935</v>
      </c>
      <c r="B618" s="454" t="s">
        <v>958</v>
      </c>
      <c r="C618" s="455">
        <v>3.0000000000000001E-3</v>
      </c>
    </row>
    <row r="619" spans="1:3">
      <c r="A619" s="454" t="s">
        <v>935</v>
      </c>
      <c r="B619" s="454" t="s">
        <v>959</v>
      </c>
      <c r="C619" s="455">
        <v>3.0000000000000001E-3</v>
      </c>
    </row>
    <row r="620" spans="1:3">
      <c r="A620" s="454" t="s">
        <v>935</v>
      </c>
      <c r="B620" s="454" t="s">
        <v>960</v>
      </c>
      <c r="C620" s="455">
        <v>3.0000000000000001E-3</v>
      </c>
    </row>
    <row r="621" spans="1:3">
      <c r="A621" s="454" t="s">
        <v>935</v>
      </c>
      <c r="B621" s="454" t="s">
        <v>226</v>
      </c>
      <c r="C621" s="455">
        <v>1E-3</v>
      </c>
    </row>
    <row r="622" spans="1:3">
      <c r="A622" s="454" t="s">
        <v>935</v>
      </c>
      <c r="B622" s="454" t="s">
        <v>256</v>
      </c>
      <c r="C622" s="455">
        <v>1E-3</v>
      </c>
    </row>
    <row r="623" spans="1:3">
      <c r="A623" s="454" t="s">
        <v>935</v>
      </c>
      <c r="B623" s="454" t="s">
        <v>257</v>
      </c>
      <c r="C623" s="455">
        <v>1E-3</v>
      </c>
    </row>
    <row r="624" spans="1:3">
      <c r="A624" s="454" t="s">
        <v>935</v>
      </c>
      <c r="B624" s="454" t="s">
        <v>258</v>
      </c>
      <c r="C624" s="455">
        <v>1E-3</v>
      </c>
    </row>
    <row r="625" spans="1:3">
      <c r="A625" s="454" t="s">
        <v>935</v>
      </c>
      <c r="B625" s="454" t="s">
        <v>259</v>
      </c>
      <c r="C625" s="455">
        <v>1E-3</v>
      </c>
    </row>
    <row r="626" spans="1:3">
      <c r="A626" s="454" t="s">
        <v>935</v>
      </c>
      <c r="B626" s="454" t="s">
        <v>961</v>
      </c>
      <c r="C626" s="455">
        <v>1E-3</v>
      </c>
    </row>
    <row r="627" spans="1:3">
      <c r="A627" s="454" t="s">
        <v>935</v>
      </c>
      <c r="B627" s="454" t="s">
        <v>753</v>
      </c>
      <c r="C627" s="455">
        <v>1E-3</v>
      </c>
    </row>
    <row r="628" spans="1:3">
      <c r="A628" s="454" t="s">
        <v>935</v>
      </c>
      <c r="B628" s="454" t="s">
        <v>962</v>
      </c>
      <c r="C628" s="455">
        <v>1E-3</v>
      </c>
    </row>
    <row r="629" spans="1:3">
      <c r="A629" s="454" t="s">
        <v>935</v>
      </c>
      <c r="B629" s="454" t="s">
        <v>756</v>
      </c>
      <c r="C629" s="455">
        <v>1E-3</v>
      </c>
    </row>
    <row r="630" spans="1:3">
      <c r="A630" s="454" t="s">
        <v>935</v>
      </c>
      <c r="B630" s="454" t="s">
        <v>228</v>
      </c>
      <c r="C630" s="455">
        <v>0.02</v>
      </c>
    </row>
    <row r="631" spans="1:3">
      <c r="A631" s="454" t="s">
        <v>935</v>
      </c>
      <c r="B631" s="454" t="s">
        <v>963</v>
      </c>
      <c r="C631" s="455">
        <v>0.02</v>
      </c>
    </row>
    <row r="632" spans="1:3">
      <c r="A632" s="454" t="s">
        <v>935</v>
      </c>
      <c r="B632" s="454" t="s">
        <v>423</v>
      </c>
      <c r="C632" s="455">
        <v>0.02</v>
      </c>
    </row>
    <row r="633" spans="1:3">
      <c r="A633" s="454" t="s">
        <v>935</v>
      </c>
      <c r="B633" s="454" t="s">
        <v>424</v>
      </c>
      <c r="C633" s="455">
        <v>0.02</v>
      </c>
    </row>
    <row r="634" spans="1:3">
      <c r="A634" s="454" t="s">
        <v>935</v>
      </c>
      <c r="B634" s="454" t="s">
        <v>425</v>
      </c>
      <c r="C634" s="455">
        <v>0.02</v>
      </c>
    </row>
    <row r="635" spans="1:3">
      <c r="A635" s="454" t="s">
        <v>935</v>
      </c>
      <c r="B635" s="454" t="s">
        <v>426</v>
      </c>
      <c r="C635" s="455">
        <v>0.02</v>
      </c>
    </row>
    <row r="636" spans="1:3">
      <c r="A636" s="454" t="s">
        <v>935</v>
      </c>
      <c r="B636" s="454" t="s">
        <v>755</v>
      </c>
      <c r="C636" s="455">
        <v>0.02</v>
      </c>
    </row>
    <row r="637" spans="1:3">
      <c r="A637" s="454" t="s">
        <v>935</v>
      </c>
      <c r="B637" s="454" t="s">
        <v>597</v>
      </c>
      <c r="C637" s="455">
        <v>0.02</v>
      </c>
    </row>
    <row r="638" spans="1:3">
      <c r="A638" s="454" t="s">
        <v>935</v>
      </c>
      <c r="B638" s="454" t="s">
        <v>598</v>
      </c>
      <c r="C638" s="455">
        <v>0.02</v>
      </c>
    </row>
    <row r="639" spans="1:3">
      <c r="A639" s="454" t="s">
        <v>935</v>
      </c>
      <c r="B639" s="454" t="s">
        <v>230</v>
      </c>
      <c r="C639" s="455">
        <v>0.03</v>
      </c>
    </row>
    <row r="640" spans="1:3">
      <c r="A640" s="454" t="s">
        <v>935</v>
      </c>
      <c r="B640" s="454" t="s">
        <v>964</v>
      </c>
      <c r="C640" s="455">
        <v>0.03</v>
      </c>
    </row>
    <row r="641" spans="1:3">
      <c r="A641" s="454" t="s">
        <v>935</v>
      </c>
      <c r="B641" s="454" t="s">
        <v>435</v>
      </c>
      <c r="C641" s="455">
        <v>0.03</v>
      </c>
    </row>
    <row r="642" spans="1:3">
      <c r="A642" s="454" t="s">
        <v>935</v>
      </c>
      <c r="B642" s="454" t="s">
        <v>436</v>
      </c>
      <c r="C642" s="455">
        <v>0.03</v>
      </c>
    </row>
    <row r="643" spans="1:3">
      <c r="A643" s="454" t="s">
        <v>935</v>
      </c>
      <c r="B643" s="454" t="s">
        <v>437</v>
      </c>
      <c r="C643" s="455">
        <v>0.03</v>
      </c>
    </row>
    <row r="644" spans="1:3">
      <c r="A644" s="454" t="s">
        <v>935</v>
      </c>
      <c r="B644" s="454" t="s">
        <v>438</v>
      </c>
      <c r="C644" s="455">
        <v>0.03</v>
      </c>
    </row>
    <row r="645" spans="1:3">
      <c r="A645" s="454" t="s">
        <v>935</v>
      </c>
      <c r="B645" s="454" t="s">
        <v>965</v>
      </c>
      <c r="C645" s="455">
        <v>0.03</v>
      </c>
    </row>
    <row r="646" spans="1:3">
      <c r="A646" s="454" t="s">
        <v>935</v>
      </c>
      <c r="B646" s="454" t="s">
        <v>603</v>
      </c>
      <c r="C646" s="455">
        <v>0.03</v>
      </c>
    </row>
    <row r="647" spans="1:3">
      <c r="A647" s="454" t="s">
        <v>935</v>
      </c>
      <c r="B647" s="454" t="s">
        <v>604</v>
      </c>
      <c r="C647" s="455">
        <v>0.03</v>
      </c>
    </row>
    <row r="648" spans="1:3">
      <c r="A648" s="454" t="s">
        <v>935</v>
      </c>
      <c r="B648" s="454" t="s">
        <v>231</v>
      </c>
      <c r="C648" s="455">
        <v>0.02</v>
      </c>
    </row>
    <row r="649" spans="1:3">
      <c r="A649" s="454" t="s">
        <v>935</v>
      </c>
      <c r="B649" s="454" t="s">
        <v>966</v>
      </c>
      <c r="C649" s="455">
        <v>0.02</v>
      </c>
    </row>
    <row r="650" spans="1:3">
      <c r="A650" s="454" t="s">
        <v>935</v>
      </c>
      <c r="B650" s="454" t="s">
        <v>439</v>
      </c>
      <c r="C650" s="455">
        <v>0.02</v>
      </c>
    </row>
    <row r="651" spans="1:3">
      <c r="A651" s="454" t="s">
        <v>935</v>
      </c>
      <c r="B651" s="454" t="s">
        <v>440</v>
      </c>
      <c r="C651" s="455">
        <v>0.02</v>
      </c>
    </row>
    <row r="652" spans="1:3">
      <c r="A652" s="454" t="s">
        <v>935</v>
      </c>
      <c r="B652" s="454" t="s">
        <v>441</v>
      </c>
      <c r="C652" s="455">
        <v>0.02</v>
      </c>
    </row>
    <row r="653" spans="1:3">
      <c r="A653" s="454" t="s">
        <v>935</v>
      </c>
      <c r="B653" s="454" t="s">
        <v>442</v>
      </c>
      <c r="C653" s="455">
        <v>0.02</v>
      </c>
    </row>
    <row r="654" spans="1:3">
      <c r="A654" s="454" t="s">
        <v>935</v>
      </c>
      <c r="B654" s="454" t="s">
        <v>967</v>
      </c>
      <c r="C654" s="455">
        <v>0.02</v>
      </c>
    </row>
    <row r="655" spans="1:3">
      <c r="A655" s="454" t="s">
        <v>935</v>
      </c>
      <c r="B655" s="454" t="s">
        <v>605</v>
      </c>
      <c r="C655" s="455">
        <v>0.02</v>
      </c>
    </row>
    <row r="656" spans="1:3">
      <c r="A656" s="454" t="s">
        <v>935</v>
      </c>
      <c r="B656" s="454" t="s">
        <v>606</v>
      </c>
      <c r="C656" s="455">
        <v>0.02</v>
      </c>
    </row>
    <row r="657" spans="1:3">
      <c r="A657" s="454" t="s">
        <v>935</v>
      </c>
      <c r="B657" s="454" t="s">
        <v>770</v>
      </c>
      <c r="C657" s="455">
        <v>0.03</v>
      </c>
    </row>
    <row r="658" spans="1:3">
      <c r="A658" s="454" t="s">
        <v>935</v>
      </c>
      <c r="B658" s="454" t="s">
        <v>968</v>
      </c>
      <c r="C658" s="455">
        <v>0.03</v>
      </c>
    </row>
    <row r="659" spans="1:3">
      <c r="A659" s="454" t="s">
        <v>935</v>
      </c>
      <c r="B659" s="454" t="s">
        <v>443</v>
      </c>
      <c r="C659" s="455">
        <v>0.03</v>
      </c>
    </row>
    <row r="660" spans="1:3">
      <c r="A660" s="454" t="s">
        <v>935</v>
      </c>
      <c r="B660" s="454" t="s">
        <v>444</v>
      </c>
      <c r="C660" s="455">
        <v>0.03</v>
      </c>
    </row>
    <row r="661" spans="1:3">
      <c r="A661" s="454" t="s">
        <v>935</v>
      </c>
      <c r="B661" s="454" t="s">
        <v>445</v>
      </c>
      <c r="C661" s="455">
        <v>0.03</v>
      </c>
    </row>
    <row r="662" spans="1:3">
      <c r="A662" s="454" t="s">
        <v>935</v>
      </c>
      <c r="B662" s="454" t="s">
        <v>446</v>
      </c>
      <c r="C662" s="455">
        <v>0.03</v>
      </c>
    </row>
    <row r="663" spans="1:3">
      <c r="A663" s="454" t="s">
        <v>935</v>
      </c>
      <c r="B663" s="454" t="s">
        <v>773</v>
      </c>
      <c r="C663" s="455">
        <v>0.03</v>
      </c>
    </row>
    <row r="664" spans="1:3">
      <c r="A664" s="454" t="s">
        <v>935</v>
      </c>
      <c r="B664" s="454" t="s">
        <v>607</v>
      </c>
      <c r="C664" s="455">
        <v>0.03</v>
      </c>
    </row>
    <row r="665" spans="1:3">
      <c r="A665" s="454" t="s">
        <v>935</v>
      </c>
      <c r="B665" s="454" t="s">
        <v>608</v>
      </c>
      <c r="C665" s="455">
        <v>0.03</v>
      </c>
    </row>
    <row r="666" spans="1:3">
      <c r="A666" s="454" t="s">
        <v>935</v>
      </c>
      <c r="B666" s="454" t="s">
        <v>269</v>
      </c>
      <c r="C666" s="455">
        <v>0.03</v>
      </c>
    </row>
    <row r="667" spans="1:3">
      <c r="A667" s="454" t="s">
        <v>935</v>
      </c>
      <c r="B667" s="454" t="s">
        <v>270</v>
      </c>
      <c r="C667" s="455">
        <v>0.03</v>
      </c>
    </row>
    <row r="668" spans="1:3">
      <c r="A668" s="454" t="s">
        <v>935</v>
      </c>
      <c r="B668" s="454" t="s">
        <v>271</v>
      </c>
      <c r="C668" s="455">
        <v>0.03</v>
      </c>
    </row>
    <row r="669" spans="1:3">
      <c r="A669" s="454" t="s">
        <v>935</v>
      </c>
      <c r="B669" s="454" t="s">
        <v>272</v>
      </c>
      <c r="C669" s="455">
        <v>0.03</v>
      </c>
    </row>
    <row r="670" spans="1:3">
      <c r="A670" s="454" t="s">
        <v>935</v>
      </c>
      <c r="B670" s="454" t="s">
        <v>273</v>
      </c>
      <c r="C670" s="455">
        <v>0.03</v>
      </c>
    </row>
    <row r="671" spans="1:3">
      <c r="A671" s="454" t="s">
        <v>935</v>
      </c>
      <c r="B671" s="454" t="s">
        <v>447</v>
      </c>
      <c r="C671" s="455">
        <v>0.03</v>
      </c>
    </row>
    <row r="672" spans="1:3">
      <c r="A672" s="454" t="s">
        <v>935</v>
      </c>
      <c r="B672" s="454" t="s">
        <v>774</v>
      </c>
      <c r="C672" s="455">
        <v>0.03</v>
      </c>
    </row>
    <row r="673" spans="1:3">
      <c r="A673" s="454" t="s">
        <v>935</v>
      </c>
      <c r="B673" s="454" t="s">
        <v>609</v>
      </c>
      <c r="C673" s="455">
        <v>0.03</v>
      </c>
    </row>
    <row r="674" spans="1:3">
      <c r="A674" s="454" t="s">
        <v>935</v>
      </c>
      <c r="B674" s="454" t="s">
        <v>610</v>
      </c>
      <c r="C674" s="455">
        <v>0.03</v>
      </c>
    </row>
    <row r="675" spans="1:3">
      <c r="A675" s="454" t="s">
        <v>217</v>
      </c>
      <c r="B675" s="454" t="s">
        <v>891</v>
      </c>
      <c r="C675" s="455">
        <v>100000</v>
      </c>
    </row>
    <row r="676" spans="1:3">
      <c r="A676" s="454" t="s">
        <v>217</v>
      </c>
      <c r="B676" s="454" t="s">
        <v>408</v>
      </c>
      <c r="C676" s="455" t="s">
        <v>969</v>
      </c>
    </row>
    <row r="677" spans="1:3">
      <c r="A677" s="454" t="s">
        <v>217</v>
      </c>
      <c r="B677" s="454" t="s">
        <v>409</v>
      </c>
      <c r="C677" s="455" t="s">
        <v>970</v>
      </c>
    </row>
    <row r="678" spans="1:3">
      <c r="A678" s="454" t="s">
        <v>217</v>
      </c>
      <c r="B678" s="454" t="s">
        <v>892</v>
      </c>
      <c r="C678" s="455" t="s">
        <v>971</v>
      </c>
    </row>
    <row r="679" spans="1:3">
      <c r="A679" s="454" t="s">
        <v>217</v>
      </c>
      <c r="B679" s="454" t="s">
        <v>410</v>
      </c>
      <c r="C679" s="455" t="s">
        <v>972</v>
      </c>
    </row>
    <row r="680" spans="1:3">
      <c r="A680" s="454" t="s">
        <v>217</v>
      </c>
      <c r="B680" s="454" t="s">
        <v>893</v>
      </c>
      <c r="C680" s="455" t="s">
        <v>973</v>
      </c>
    </row>
    <row r="681" spans="1:3">
      <c r="A681" s="454" t="s">
        <v>217</v>
      </c>
      <c r="B681" s="454" t="s">
        <v>411</v>
      </c>
      <c r="C681" s="455">
        <v>21000000</v>
      </c>
    </row>
    <row r="682" spans="1:3">
      <c r="A682" s="454" t="s">
        <v>217</v>
      </c>
      <c r="B682" s="454" t="s">
        <v>441</v>
      </c>
      <c r="C682" s="455">
        <v>0.7</v>
      </c>
    </row>
    <row r="683" spans="1:3">
      <c r="A683" s="454" t="s">
        <v>217</v>
      </c>
      <c r="B683" s="454" t="s">
        <v>287</v>
      </c>
      <c r="C683" s="455">
        <v>0.05</v>
      </c>
    </row>
    <row r="684" spans="1:3">
      <c r="A684" s="454" t="s">
        <v>217</v>
      </c>
      <c r="B684" s="454" t="s">
        <v>294</v>
      </c>
      <c r="C684" s="455">
        <v>30</v>
      </c>
    </row>
    <row r="685" spans="1:3">
      <c r="A685" s="454" t="s">
        <v>217</v>
      </c>
      <c r="B685" s="454" t="s">
        <v>300</v>
      </c>
      <c r="C685" s="455">
        <v>10</v>
      </c>
    </row>
    <row r="686" spans="1:3">
      <c r="A686" s="454" t="s">
        <v>217</v>
      </c>
      <c r="B686" s="454" t="s">
        <v>281</v>
      </c>
      <c r="C686" s="455">
        <v>4.4999999999999998E-2</v>
      </c>
    </row>
    <row r="687" spans="1:3">
      <c r="A687" s="454" t="s">
        <v>217</v>
      </c>
      <c r="B687" s="454" t="s">
        <v>288</v>
      </c>
      <c r="C687" s="455">
        <v>30</v>
      </c>
    </row>
    <row r="688" spans="1:3">
      <c r="A688" s="454" t="s">
        <v>217</v>
      </c>
      <c r="B688" s="454" t="s">
        <v>295</v>
      </c>
      <c r="C688" s="455">
        <v>10</v>
      </c>
    </row>
    <row r="689" spans="1:3">
      <c r="A689" s="454" t="s">
        <v>217</v>
      </c>
      <c r="B689" s="454" t="s">
        <v>414</v>
      </c>
      <c r="C689" s="455">
        <v>1200000</v>
      </c>
    </row>
    <row r="690" spans="1:3">
      <c r="A690" s="454" t="s">
        <v>217</v>
      </c>
      <c r="B690" s="454" t="s">
        <v>894</v>
      </c>
      <c r="C690" s="455" t="s">
        <v>895</v>
      </c>
    </row>
    <row r="1036" spans="3:3">
      <c r="C1036" s="459"/>
    </row>
    <row r="1051" spans="3:3">
      <c r="C1051" s="459"/>
    </row>
    <row r="1056" spans="3:3">
      <c r="C1056" s="459"/>
    </row>
  </sheetData>
  <printOptions horizontalCentered="1" verticalCentered="1"/>
  <pageMargins left="0.5" right="0.5" top="1.75" bottom="0.5" header="0" footer="0"/>
  <pageSetup scale="96" fitToHeight="0" orientation="landscape" cellComments="atEnd" verticalDpi="0" r:id="rId1"/>
  <customProperties>
    <customPr name="GUID" r:id="rId2"/>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pageSetUpPr fitToPage="1"/>
  </sheetPr>
  <dimension ref="A1:X71"/>
  <sheetViews>
    <sheetView topLeftCell="G1" workbookViewId="0">
      <selection activeCell="L13" sqref="L13"/>
    </sheetView>
  </sheetViews>
  <sheetFormatPr defaultColWidth="8.85546875" defaultRowHeight="12.75"/>
  <cols>
    <col min="1" max="1" width="11.42578125" customWidth="1"/>
    <col min="2" max="2" width="19.42578125" bestFit="1" customWidth="1"/>
    <col min="3" max="3" width="24.140625" bestFit="1" customWidth="1"/>
    <col min="5" max="5" width="6.42578125" customWidth="1"/>
    <col min="15" max="16" width="16.5703125" bestFit="1" customWidth="1"/>
    <col min="17" max="17" width="13.5703125" bestFit="1" customWidth="1"/>
  </cols>
  <sheetData>
    <row r="1" spans="1:24">
      <c r="A1" s="1564" t="s">
        <v>983</v>
      </c>
      <c r="B1" s="1564"/>
      <c r="C1" s="1564"/>
      <c r="D1" s="1564"/>
      <c r="E1" s="1564"/>
      <c r="F1" s="1564"/>
      <c r="G1" s="1564"/>
      <c r="H1" s="1564"/>
      <c r="I1" s="1564"/>
      <c r="J1" s="1564"/>
      <c r="K1" s="1564"/>
      <c r="L1" s="1564"/>
      <c r="M1" s="1564"/>
      <c r="O1" s="1563" t="s">
        <v>984</v>
      </c>
      <c r="P1" s="1563"/>
      <c r="Q1" s="1563"/>
      <c r="R1" s="1563"/>
      <c r="S1" s="1563"/>
      <c r="T1" s="1563"/>
      <c r="U1" s="1563"/>
      <c r="V1" s="1563"/>
      <c r="X1" t="s">
        <v>156</v>
      </c>
    </row>
    <row r="8" spans="1:24">
      <c r="O8" t="s">
        <v>58</v>
      </c>
      <c r="P8" t="s">
        <v>913</v>
      </c>
      <c r="Q8" t="s">
        <v>914</v>
      </c>
      <c r="R8">
        <v>10</v>
      </c>
      <c r="S8">
        <v>705</v>
      </c>
      <c r="T8">
        <v>1659.9</v>
      </c>
      <c r="U8">
        <v>1659.9</v>
      </c>
      <c r="V8">
        <v>1725</v>
      </c>
    </row>
    <row r="9" spans="1:24">
      <c r="Q9" t="s">
        <v>915</v>
      </c>
      <c r="R9">
        <v>5</v>
      </c>
      <c r="S9">
        <v>750</v>
      </c>
      <c r="T9">
        <v>1714</v>
      </c>
      <c r="U9">
        <v>1714</v>
      </c>
      <c r="V9">
        <v>1725</v>
      </c>
    </row>
    <row r="10" spans="1:24">
      <c r="A10" s="1565" t="s">
        <v>985</v>
      </c>
      <c r="B10" s="1567" t="s">
        <v>42</v>
      </c>
      <c r="C10" s="1567" t="s">
        <v>986</v>
      </c>
      <c r="D10" s="399"/>
      <c r="F10" s="348"/>
      <c r="G10" s="348" t="s">
        <v>987</v>
      </c>
      <c r="H10" s="349"/>
      <c r="I10" s="364" t="s">
        <v>988</v>
      </c>
      <c r="J10" s="358" t="s">
        <v>78</v>
      </c>
      <c r="K10" s="358" t="s">
        <v>145</v>
      </c>
      <c r="L10" s="358" t="s">
        <v>40</v>
      </c>
      <c r="M10" s="348"/>
    </row>
    <row r="11" spans="1:24">
      <c r="A11" s="1566"/>
      <c r="B11" s="1568"/>
      <c r="C11" s="1568"/>
      <c r="D11" s="1048" t="s">
        <v>989</v>
      </c>
      <c r="F11" s="351" t="s">
        <v>990</v>
      </c>
      <c r="G11" s="352" t="s">
        <v>991</v>
      </c>
      <c r="H11" s="350" t="s">
        <v>986</v>
      </c>
      <c r="I11" s="365" t="s">
        <v>992</v>
      </c>
      <c r="J11" s="359" t="s">
        <v>993</v>
      </c>
      <c r="K11" s="360" t="s">
        <v>993</v>
      </c>
      <c r="L11" s="359" t="s">
        <v>993</v>
      </c>
      <c r="M11" s="353" t="s">
        <v>989</v>
      </c>
    </row>
    <row r="12" spans="1:24">
      <c r="A12" s="400" t="s">
        <v>58</v>
      </c>
      <c r="B12" s="396" t="s">
        <v>975</v>
      </c>
      <c r="C12" s="314" t="s">
        <v>913</v>
      </c>
      <c r="D12" s="401"/>
      <c r="F12" s="381"/>
      <c r="G12" s="388">
        <v>101</v>
      </c>
      <c r="H12" s="383"/>
      <c r="I12" s="391">
        <v>700</v>
      </c>
      <c r="J12" s="392">
        <v>0</v>
      </c>
      <c r="K12" s="384"/>
      <c r="L12" s="392">
        <v>1725</v>
      </c>
      <c r="M12" s="380" t="s">
        <v>994</v>
      </c>
      <c r="N12" s="382"/>
    </row>
    <row r="13" spans="1:24">
      <c r="A13" s="402"/>
      <c r="B13" s="397"/>
      <c r="C13" s="387" t="s">
        <v>915</v>
      </c>
      <c r="D13" s="401"/>
      <c r="F13" s="347"/>
      <c r="G13" s="389">
        <v>102</v>
      </c>
      <c r="H13" s="385"/>
      <c r="I13" s="393">
        <v>700</v>
      </c>
      <c r="J13" s="394">
        <v>1725</v>
      </c>
      <c r="K13" s="386"/>
      <c r="L13" s="394">
        <v>1725</v>
      </c>
      <c r="M13" s="344" t="s">
        <v>995</v>
      </c>
      <c r="N13" s="345"/>
    </row>
    <row r="14" spans="1:24">
      <c r="A14" s="402"/>
      <c r="B14" s="397"/>
      <c r="C14" s="387"/>
      <c r="D14" s="401"/>
      <c r="F14" s="347"/>
      <c r="G14" s="389">
        <v>103</v>
      </c>
      <c r="H14" s="385"/>
      <c r="I14" s="393">
        <v>950</v>
      </c>
      <c r="J14" s="394">
        <v>2150</v>
      </c>
      <c r="K14" s="386"/>
      <c r="L14" s="394">
        <v>2200</v>
      </c>
      <c r="M14" s="344" t="s">
        <v>996</v>
      </c>
      <c r="N14" s="345"/>
    </row>
    <row r="15" spans="1:24">
      <c r="A15" s="402"/>
      <c r="B15" s="397"/>
      <c r="C15" s="387"/>
      <c r="D15" s="401"/>
      <c r="F15" s="347"/>
      <c r="G15" s="389">
        <v>104</v>
      </c>
      <c r="H15" s="385"/>
      <c r="I15" s="393">
        <v>700</v>
      </c>
      <c r="J15" s="394">
        <v>1615</v>
      </c>
      <c r="K15" s="386"/>
      <c r="L15" s="394">
        <v>1725</v>
      </c>
      <c r="M15" s="344" t="s">
        <v>994</v>
      </c>
      <c r="N15" s="345"/>
    </row>
    <row r="16" spans="1:24">
      <c r="A16" s="402"/>
      <c r="B16" s="397"/>
      <c r="C16" s="387"/>
      <c r="D16" s="401"/>
      <c r="F16" s="347"/>
      <c r="G16" s="389">
        <v>105</v>
      </c>
      <c r="H16" s="385"/>
      <c r="I16" s="393">
        <v>950</v>
      </c>
      <c r="J16" s="394">
        <v>2050</v>
      </c>
      <c r="K16" s="386"/>
      <c r="L16" s="394">
        <v>2200</v>
      </c>
      <c r="M16" s="344" t="s">
        <v>996</v>
      </c>
      <c r="N16" s="345"/>
    </row>
    <row r="17" spans="1:22">
      <c r="A17" s="403" t="s">
        <v>60</v>
      </c>
      <c r="B17" s="398" t="s">
        <v>976</v>
      </c>
      <c r="C17" s="387" t="s">
        <v>916</v>
      </c>
      <c r="D17" s="401"/>
      <c r="F17" s="347"/>
      <c r="G17" s="389">
        <v>106</v>
      </c>
      <c r="H17" s="385"/>
      <c r="I17" s="393">
        <v>700</v>
      </c>
      <c r="J17" s="394">
        <v>1725</v>
      </c>
      <c r="K17" s="386"/>
      <c r="L17" s="394">
        <v>1725</v>
      </c>
      <c r="M17" s="344" t="s">
        <v>995</v>
      </c>
      <c r="N17" s="345"/>
    </row>
    <row r="18" spans="1:22">
      <c r="A18" s="402"/>
      <c r="B18" s="397"/>
      <c r="C18" s="387"/>
      <c r="D18" s="401"/>
      <c r="F18" s="347"/>
      <c r="G18" s="389">
        <v>107</v>
      </c>
      <c r="H18" s="385"/>
      <c r="I18" s="393">
        <v>950</v>
      </c>
      <c r="J18" s="394">
        <v>2017</v>
      </c>
      <c r="K18" s="386"/>
      <c r="L18" s="394">
        <v>2200</v>
      </c>
      <c r="M18" s="344" t="s">
        <v>996</v>
      </c>
      <c r="N18" s="345"/>
    </row>
    <row r="19" spans="1:22">
      <c r="A19" s="402"/>
      <c r="B19" s="397"/>
      <c r="C19" s="387"/>
      <c r="D19" s="401"/>
      <c r="F19" s="347"/>
      <c r="G19" s="389">
        <v>108</v>
      </c>
      <c r="H19" s="385"/>
      <c r="I19" s="393">
        <v>950</v>
      </c>
      <c r="J19" s="394">
        <v>2059</v>
      </c>
      <c r="K19" s="386"/>
      <c r="L19" s="394">
        <v>2200</v>
      </c>
      <c r="M19" s="344" t="s">
        <v>996</v>
      </c>
      <c r="N19" s="345"/>
      <c r="O19" t="s">
        <v>60</v>
      </c>
      <c r="P19" t="s">
        <v>916</v>
      </c>
      <c r="Q19" t="s">
        <v>917</v>
      </c>
      <c r="R19">
        <v>12</v>
      </c>
      <c r="S19">
        <v>950</v>
      </c>
      <c r="T19">
        <v>2058.4166666666665</v>
      </c>
      <c r="U19">
        <v>2058.4166666666665</v>
      </c>
      <c r="V19">
        <v>2200</v>
      </c>
    </row>
    <row r="20" spans="1:22">
      <c r="A20" s="402"/>
      <c r="B20" s="397"/>
      <c r="C20" s="387"/>
      <c r="D20" s="401"/>
      <c r="F20" s="347"/>
      <c r="G20" s="390">
        <v>109</v>
      </c>
      <c r="H20" s="345"/>
      <c r="I20" s="369">
        <v>700</v>
      </c>
      <c r="J20" s="395">
        <v>1615</v>
      </c>
      <c r="K20" s="357"/>
      <c r="L20" s="395">
        <v>1725</v>
      </c>
      <c r="M20" s="390" t="s">
        <v>994</v>
      </c>
      <c r="N20" s="345"/>
    </row>
    <row r="21" spans="1:22">
      <c r="A21" s="402"/>
      <c r="B21" s="397"/>
      <c r="C21" s="387"/>
      <c r="D21" s="401"/>
      <c r="F21" s="347"/>
      <c r="G21" s="390">
        <v>110</v>
      </c>
      <c r="H21" s="345"/>
      <c r="I21" s="369">
        <v>700</v>
      </c>
      <c r="J21" s="395">
        <v>1625</v>
      </c>
      <c r="K21" s="357"/>
      <c r="L21" s="395">
        <v>1725</v>
      </c>
      <c r="M21" s="390" t="s">
        <v>994</v>
      </c>
      <c r="N21" s="345"/>
    </row>
    <row r="22" spans="1:22">
      <c r="A22" s="403" t="s">
        <v>60</v>
      </c>
      <c r="B22" s="398" t="s">
        <v>977</v>
      </c>
      <c r="C22" s="387" t="s">
        <v>919</v>
      </c>
      <c r="D22" s="401"/>
      <c r="F22" s="347"/>
      <c r="G22" s="390">
        <v>111</v>
      </c>
      <c r="H22" s="345"/>
      <c r="I22" s="369">
        <v>950</v>
      </c>
      <c r="J22" s="395">
        <v>2050</v>
      </c>
      <c r="K22" s="357"/>
      <c r="L22" s="395">
        <v>2200</v>
      </c>
      <c r="M22" s="390" t="s">
        <v>996</v>
      </c>
      <c r="N22" s="345"/>
    </row>
    <row r="23" spans="1:22">
      <c r="A23" s="402"/>
      <c r="B23" s="397"/>
      <c r="C23" s="387" t="s">
        <v>920</v>
      </c>
      <c r="D23" s="401"/>
      <c r="F23" s="347"/>
      <c r="G23" s="390">
        <v>112</v>
      </c>
      <c r="H23" s="345"/>
      <c r="I23" s="369">
        <v>700</v>
      </c>
      <c r="J23" s="395">
        <v>1645</v>
      </c>
      <c r="K23" s="357"/>
      <c r="L23" s="395">
        <v>1725</v>
      </c>
      <c r="M23" s="390" t="s">
        <v>994</v>
      </c>
      <c r="N23" s="345"/>
    </row>
    <row r="24" spans="1:22">
      <c r="A24" s="402"/>
      <c r="B24" s="397"/>
      <c r="C24" s="387"/>
      <c r="D24" s="401"/>
      <c r="F24" s="347"/>
      <c r="G24" s="390">
        <v>113</v>
      </c>
      <c r="H24" s="345"/>
      <c r="I24" s="369">
        <v>950</v>
      </c>
      <c r="J24" s="395">
        <v>2195</v>
      </c>
      <c r="K24" s="357"/>
      <c r="L24" s="395">
        <v>2200</v>
      </c>
      <c r="M24" s="390" t="s">
        <v>996</v>
      </c>
      <c r="N24" s="345"/>
    </row>
    <row r="25" spans="1:22">
      <c r="A25" s="402"/>
      <c r="B25" s="397"/>
      <c r="C25" s="387"/>
      <c r="D25" s="401"/>
      <c r="F25" s="347"/>
      <c r="G25" s="390">
        <v>114</v>
      </c>
      <c r="H25" s="345"/>
      <c r="I25" s="369">
        <v>700</v>
      </c>
      <c r="J25" s="395">
        <v>1700</v>
      </c>
      <c r="K25" s="357"/>
      <c r="L25" s="395">
        <v>1725</v>
      </c>
      <c r="M25" s="390" t="s">
        <v>995</v>
      </c>
      <c r="N25" s="345"/>
    </row>
    <row r="26" spans="1:22">
      <c r="A26" s="402"/>
      <c r="B26" s="397"/>
      <c r="C26" s="387"/>
      <c r="D26" s="401"/>
      <c r="F26" s="347"/>
      <c r="G26" s="390">
        <v>115</v>
      </c>
      <c r="H26" s="345"/>
      <c r="I26" s="369">
        <v>950</v>
      </c>
      <c r="J26" s="395">
        <v>2150</v>
      </c>
      <c r="K26" s="357"/>
      <c r="L26" s="395">
        <v>2200</v>
      </c>
      <c r="M26" s="390" t="s">
        <v>996</v>
      </c>
      <c r="N26" s="345"/>
    </row>
    <row r="27" spans="1:22">
      <c r="A27" s="403" t="s">
        <v>62</v>
      </c>
      <c r="B27" s="398" t="s">
        <v>978</v>
      </c>
      <c r="C27" s="387" t="s">
        <v>979</v>
      </c>
      <c r="D27" s="401"/>
      <c r="F27" s="347"/>
      <c r="G27" s="390">
        <v>116</v>
      </c>
      <c r="H27" s="345"/>
      <c r="I27" s="369">
        <v>700</v>
      </c>
      <c r="J27" s="395">
        <v>1725</v>
      </c>
      <c r="K27" s="357"/>
      <c r="L27" s="395">
        <v>1725</v>
      </c>
      <c r="M27" s="390" t="s">
        <v>994</v>
      </c>
      <c r="N27" s="345"/>
    </row>
    <row r="28" spans="1:22">
      <c r="A28" s="402"/>
      <c r="B28" s="397"/>
      <c r="C28" s="387" t="s">
        <v>980</v>
      </c>
      <c r="D28" s="401"/>
      <c r="F28" s="347"/>
      <c r="G28" s="390">
        <v>117</v>
      </c>
      <c r="H28" s="345"/>
      <c r="I28" s="369">
        <v>950</v>
      </c>
      <c r="J28" s="395">
        <v>2015</v>
      </c>
      <c r="K28" s="357"/>
      <c r="L28" s="395">
        <v>2200</v>
      </c>
      <c r="M28" s="390" t="s">
        <v>996</v>
      </c>
      <c r="N28" s="345"/>
    </row>
    <row r="29" spans="1:22">
      <c r="A29" s="402"/>
      <c r="B29" s="397"/>
      <c r="C29" s="387" t="s">
        <v>981</v>
      </c>
      <c r="D29" s="401"/>
      <c r="F29" s="347"/>
      <c r="G29" s="390">
        <v>118</v>
      </c>
      <c r="H29" s="345"/>
      <c r="I29" s="369">
        <v>950</v>
      </c>
      <c r="J29" s="395">
        <v>1895</v>
      </c>
      <c r="K29" s="357"/>
      <c r="L29" s="395">
        <v>2200</v>
      </c>
      <c r="M29" s="390" t="s">
        <v>996</v>
      </c>
      <c r="N29" s="345"/>
    </row>
    <row r="30" spans="1:22">
      <c r="A30" s="402"/>
      <c r="B30" s="397"/>
      <c r="C30" s="387" t="s">
        <v>982</v>
      </c>
      <c r="D30" s="401"/>
      <c r="F30" s="347"/>
      <c r="G30" s="390">
        <v>119</v>
      </c>
      <c r="H30" s="345"/>
      <c r="I30" s="369">
        <v>950</v>
      </c>
      <c r="J30" s="395">
        <v>2095</v>
      </c>
      <c r="K30" s="357"/>
      <c r="L30" s="395">
        <v>2200</v>
      </c>
      <c r="M30" s="390" t="s">
        <v>996</v>
      </c>
      <c r="N30" s="345"/>
      <c r="O30" t="s">
        <v>60</v>
      </c>
      <c r="P30" t="s">
        <v>918</v>
      </c>
      <c r="Q30" t="s">
        <v>919</v>
      </c>
      <c r="R30">
        <v>12</v>
      </c>
      <c r="S30">
        <v>1200</v>
      </c>
      <c r="T30">
        <v>2171.6666666666665</v>
      </c>
      <c r="U30">
        <v>2171.6666666666665</v>
      </c>
      <c r="V30">
        <v>2450</v>
      </c>
    </row>
    <row r="31" spans="1:22">
      <c r="A31" s="404"/>
      <c r="B31" s="405"/>
      <c r="C31" s="406"/>
      <c r="D31" s="407"/>
      <c r="F31" s="347"/>
      <c r="G31" s="390">
        <v>120</v>
      </c>
      <c r="H31" s="345"/>
      <c r="I31" s="369">
        <v>750</v>
      </c>
      <c r="J31" s="395">
        <v>1675</v>
      </c>
      <c r="K31" s="357"/>
      <c r="L31" s="395">
        <v>1725</v>
      </c>
      <c r="M31" s="390" t="s">
        <v>994</v>
      </c>
      <c r="N31" s="345"/>
      <c r="Q31" t="s">
        <v>920</v>
      </c>
      <c r="R31">
        <v>6</v>
      </c>
      <c r="S31">
        <v>1200</v>
      </c>
      <c r="T31">
        <v>2369.1666666666665</v>
      </c>
      <c r="U31">
        <v>2369.1666666666665</v>
      </c>
      <c r="V31">
        <v>2450</v>
      </c>
    </row>
    <row r="32" spans="1:22">
      <c r="F32" s="347"/>
      <c r="G32" s="390">
        <v>121</v>
      </c>
      <c r="H32" s="345"/>
      <c r="I32" s="369">
        <v>950</v>
      </c>
      <c r="J32" s="395">
        <v>1975</v>
      </c>
      <c r="K32" s="357"/>
      <c r="L32" s="395">
        <v>2200</v>
      </c>
      <c r="M32" s="390" t="s">
        <v>996</v>
      </c>
      <c r="N32" s="345"/>
    </row>
    <row r="33" spans="6:22">
      <c r="F33" s="347"/>
      <c r="G33" s="390">
        <v>122</v>
      </c>
      <c r="H33" s="345"/>
      <c r="I33" s="369">
        <v>950</v>
      </c>
      <c r="J33" s="395">
        <v>1725</v>
      </c>
      <c r="K33" s="357"/>
      <c r="L33" s="395">
        <v>1725</v>
      </c>
      <c r="M33" s="390" t="s">
        <v>995</v>
      </c>
      <c r="N33" s="345"/>
    </row>
    <row r="34" spans="6:22">
      <c r="F34" s="347"/>
      <c r="G34" s="390">
        <v>123</v>
      </c>
      <c r="H34" s="345"/>
      <c r="I34" s="370">
        <v>700</v>
      </c>
      <c r="J34" s="395">
        <v>1574</v>
      </c>
      <c r="K34" s="357"/>
      <c r="L34" s="395">
        <v>1725</v>
      </c>
      <c r="M34" s="390" t="s">
        <v>994</v>
      </c>
      <c r="N34" s="345"/>
    </row>
    <row r="35" spans="6:22">
      <c r="F35" s="347"/>
      <c r="G35" s="390">
        <v>124</v>
      </c>
      <c r="H35" s="345"/>
      <c r="I35" s="370">
        <v>950</v>
      </c>
      <c r="J35" s="395">
        <v>2050</v>
      </c>
      <c r="K35" s="357"/>
      <c r="L35" s="395">
        <v>2200</v>
      </c>
      <c r="M35" s="390" t="s">
        <v>996</v>
      </c>
      <c r="N35" s="345"/>
    </row>
    <row r="36" spans="6:22">
      <c r="F36" s="347"/>
      <c r="G36" s="390">
        <v>125</v>
      </c>
      <c r="H36" s="345"/>
      <c r="I36" s="370">
        <v>700</v>
      </c>
      <c r="J36" s="395">
        <v>1650</v>
      </c>
      <c r="K36" s="357"/>
      <c r="L36" s="395">
        <v>1725</v>
      </c>
      <c r="M36" s="390" t="s">
        <v>994</v>
      </c>
      <c r="N36" s="345"/>
    </row>
    <row r="37" spans="6:22">
      <c r="F37" s="347"/>
      <c r="G37" s="390">
        <v>126</v>
      </c>
      <c r="H37" s="345"/>
      <c r="I37" s="370">
        <v>700</v>
      </c>
      <c r="J37" s="395">
        <v>1750</v>
      </c>
      <c r="K37" s="357"/>
      <c r="L37" s="395">
        <v>1725</v>
      </c>
      <c r="M37" s="390" t="s">
        <v>994</v>
      </c>
      <c r="N37" s="345"/>
    </row>
    <row r="38" spans="6:22">
      <c r="F38" s="347"/>
      <c r="G38" s="390">
        <v>127</v>
      </c>
      <c r="H38" s="345"/>
      <c r="I38" s="370">
        <v>700</v>
      </c>
      <c r="J38" s="395">
        <v>1695</v>
      </c>
      <c r="K38" s="357"/>
      <c r="L38" s="395">
        <v>1725</v>
      </c>
      <c r="M38" s="390" t="s">
        <v>995</v>
      </c>
      <c r="N38" s="345"/>
    </row>
    <row r="39" spans="6:22">
      <c r="F39" s="347"/>
      <c r="G39" s="390">
        <v>201</v>
      </c>
      <c r="H39" s="345"/>
      <c r="I39" s="370">
        <v>1350</v>
      </c>
      <c r="J39" s="395">
        <v>2750</v>
      </c>
      <c r="K39" s="357"/>
      <c r="L39" s="395">
        <v>2850</v>
      </c>
      <c r="M39" s="390" t="s">
        <v>997</v>
      </c>
      <c r="N39" s="345"/>
    </row>
    <row r="40" spans="6:22">
      <c r="F40" s="347"/>
      <c r="G40" s="390">
        <v>202</v>
      </c>
      <c r="H40" s="345"/>
      <c r="I40" s="370">
        <v>1450</v>
      </c>
      <c r="J40" s="395">
        <v>2850</v>
      </c>
      <c r="K40" s="357"/>
      <c r="L40" s="395">
        <v>2975</v>
      </c>
      <c r="M40" s="390" t="s">
        <v>998</v>
      </c>
      <c r="N40" s="345"/>
    </row>
    <row r="41" spans="6:22">
      <c r="F41" s="347"/>
      <c r="G41" s="390">
        <v>203</v>
      </c>
      <c r="H41" s="345"/>
      <c r="I41" s="370">
        <v>1350</v>
      </c>
      <c r="J41" s="395">
        <v>0</v>
      </c>
      <c r="K41" s="357"/>
      <c r="L41" s="395">
        <v>2850</v>
      </c>
      <c r="M41" s="390" t="s">
        <v>999</v>
      </c>
      <c r="N41" s="345"/>
      <c r="O41" t="s">
        <v>62</v>
      </c>
      <c r="P41" t="s">
        <v>921</v>
      </c>
      <c r="Q41" t="s">
        <v>922</v>
      </c>
      <c r="R41">
        <v>6</v>
      </c>
      <c r="S41">
        <v>1350</v>
      </c>
      <c r="T41">
        <v>2726.8333333333335</v>
      </c>
      <c r="U41">
        <v>2726.8333333333335</v>
      </c>
      <c r="V41">
        <v>2850</v>
      </c>
    </row>
    <row r="42" spans="6:22">
      <c r="F42" s="347"/>
      <c r="G42" s="390">
        <v>204</v>
      </c>
      <c r="H42" s="345"/>
      <c r="I42" s="370">
        <v>1450</v>
      </c>
      <c r="J42" s="395">
        <v>2795</v>
      </c>
      <c r="K42" s="357"/>
      <c r="L42" s="395">
        <v>2975</v>
      </c>
      <c r="M42" s="390" t="s">
        <v>998</v>
      </c>
      <c r="N42" s="345"/>
      <c r="Q42" t="s">
        <v>923</v>
      </c>
      <c r="R42">
        <v>1</v>
      </c>
      <c r="S42">
        <v>1350</v>
      </c>
      <c r="T42">
        <v>2750</v>
      </c>
      <c r="U42">
        <v>2750</v>
      </c>
      <c r="V42">
        <v>2850</v>
      </c>
    </row>
    <row r="43" spans="6:22">
      <c r="F43" s="347"/>
      <c r="G43" s="390">
        <v>205</v>
      </c>
      <c r="H43" s="345"/>
      <c r="I43" s="370">
        <v>1350</v>
      </c>
      <c r="J43" s="395">
        <v>2750</v>
      </c>
      <c r="K43" s="357"/>
      <c r="L43" s="395">
        <v>2850</v>
      </c>
      <c r="M43" s="390" t="s">
        <v>999</v>
      </c>
      <c r="N43" s="345"/>
      <c r="Q43" t="s">
        <v>924</v>
      </c>
      <c r="R43">
        <v>5</v>
      </c>
      <c r="S43">
        <v>1450</v>
      </c>
      <c r="T43">
        <v>2765.4</v>
      </c>
      <c r="U43">
        <v>2765.4</v>
      </c>
      <c r="V43">
        <v>2975</v>
      </c>
    </row>
    <row r="44" spans="6:22">
      <c r="F44" s="347"/>
      <c r="G44" s="390">
        <v>206</v>
      </c>
      <c r="H44" s="345"/>
      <c r="I44" s="370">
        <v>1350</v>
      </c>
      <c r="J44" s="395">
        <v>2850</v>
      </c>
      <c r="K44" s="357"/>
      <c r="L44" s="395">
        <v>2850</v>
      </c>
      <c r="M44" s="390" t="s">
        <v>999</v>
      </c>
      <c r="N44" s="345"/>
      <c r="Q44" t="s">
        <v>925</v>
      </c>
      <c r="R44">
        <v>3</v>
      </c>
      <c r="S44">
        <v>1450</v>
      </c>
      <c r="T44">
        <v>2805</v>
      </c>
      <c r="U44">
        <v>2805</v>
      </c>
      <c r="V44">
        <v>2975</v>
      </c>
    </row>
    <row r="45" spans="6:22">
      <c r="F45" s="347"/>
      <c r="G45" s="390">
        <v>207</v>
      </c>
      <c r="H45" s="345"/>
      <c r="I45" s="370">
        <v>1350</v>
      </c>
      <c r="J45" s="395">
        <v>2695</v>
      </c>
      <c r="K45" s="357"/>
      <c r="L45" s="395">
        <v>2850</v>
      </c>
      <c r="M45" s="390" t="s">
        <v>999</v>
      </c>
      <c r="N45" s="345"/>
    </row>
    <row r="46" spans="6:22">
      <c r="F46" s="347"/>
      <c r="G46" s="390">
        <v>208</v>
      </c>
      <c r="H46" s="345"/>
      <c r="I46" s="370">
        <v>1450</v>
      </c>
      <c r="J46" s="395">
        <v>2795</v>
      </c>
      <c r="K46" s="357"/>
      <c r="L46" s="395">
        <v>2975</v>
      </c>
      <c r="M46" s="390" t="s">
        <v>998</v>
      </c>
      <c r="N46" s="345"/>
    </row>
    <row r="47" spans="6:22">
      <c r="F47" s="347"/>
      <c r="G47" s="390">
        <v>209</v>
      </c>
      <c r="H47" s="345"/>
      <c r="I47" s="370">
        <v>1350</v>
      </c>
      <c r="J47" s="395">
        <v>2466</v>
      </c>
      <c r="K47" s="357"/>
      <c r="L47" s="395">
        <v>2850</v>
      </c>
      <c r="M47" s="390" t="s">
        <v>999</v>
      </c>
      <c r="N47" s="345"/>
    </row>
    <row r="48" spans="6:22">
      <c r="F48" s="347"/>
      <c r="G48" s="390">
        <v>210</v>
      </c>
      <c r="H48" s="345"/>
      <c r="I48" s="370">
        <v>1200</v>
      </c>
      <c r="J48" s="395">
        <v>2168</v>
      </c>
      <c r="K48" s="357"/>
      <c r="L48" s="395">
        <v>2450</v>
      </c>
      <c r="M48" s="390" t="s">
        <v>1000</v>
      </c>
      <c r="N48" s="345"/>
    </row>
    <row r="49" spans="6:14">
      <c r="F49" s="347"/>
      <c r="G49" s="390">
        <v>211</v>
      </c>
      <c r="H49" s="345"/>
      <c r="I49" s="370">
        <v>1200</v>
      </c>
      <c r="J49" s="395"/>
      <c r="K49" s="357"/>
      <c r="L49" s="395">
        <v>2450</v>
      </c>
      <c r="M49" s="390" t="s">
        <v>1001</v>
      </c>
      <c r="N49" s="345"/>
    </row>
    <row r="50" spans="6:14">
      <c r="F50" s="347"/>
      <c r="G50" s="390">
        <v>212</v>
      </c>
      <c r="H50" s="345"/>
      <c r="I50" s="370">
        <v>1200</v>
      </c>
      <c r="J50" s="395">
        <v>2050</v>
      </c>
      <c r="K50" s="357"/>
      <c r="L50" s="395">
        <v>2450</v>
      </c>
      <c r="M50" s="390" t="s">
        <v>1000</v>
      </c>
      <c r="N50" s="345"/>
    </row>
    <row r="51" spans="6:14">
      <c r="F51" s="347"/>
      <c r="G51" s="390">
        <v>213</v>
      </c>
      <c r="H51" s="345"/>
      <c r="I51" s="370">
        <v>1200</v>
      </c>
      <c r="J51" s="395">
        <v>2395</v>
      </c>
      <c r="K51" s="357"/>
      <c r="L51" s="395">
        <v>2450</v>
      </c>
      <c r="M51" s="390" t="s">
        <v>1001</v>
      </c>
      <c r="N51" s="345"/>
    </row>
    <row r="52" spans="6:14">
      <c r="F52" s="347"/>
      <c r="G52" s="390">
        <v>214</v>
      </c>
      <c r="H52" s="345"/>
      <c r="I52" s="370">
        <v>1200</v>
      </c>
      <c r="J52" s="395">
        <v>2145</v>
      </c>
      <c r="K52" s="357"/>
      <c r="L52" s="395">
        <v>2450</v>
      </c>
      <c r="M52" s="390" t="s">
        <v>1000</v>
      </c>
      <c r="N52" s="345"/>
    </row>
    <row r="53" spans="6:14">
      <c r="F53" s="347"/>
      <c r="G53" s="390">
        <v>215</v>
      </c>
      <c r="H53" s="345"/>
      <c r="I53" s="370">
        <v>1450</v>
      </c>
      <c r="J53" s="395">
        <v>2795</v>
      </c>
      <c r="K53" s="357"/>
      <c r="L53" s="395">
        <v>2975</v>
      </c>
      <c r="M53" s="390" t="s">
        <v>1002</v>
      </c>
      <c r="N53" s="345"/>
    </row>
    <row r="54" spans="6:14">
      <c r="F54" s="347"/>
      <c r="G54" s="390">
        <v>216</v>
      </c>
      <c r="H54" s="345"/>
      <c r="I54" s="370">
        <v>1200</v>
      </c>
      <c r="J54" s="395">
        <v>2132</v>
      </c>
      <c r="K54" s="357"/>
      <c r="L54" s="395">
        <v>2450</v>
      </c>
      <c r="M54" s="390" t="s">
        <v>1000</v>
      </c>
      <c r="N54" s="345"/>
    </row>
    <row r="55" spans="6:14">
      <c r="F55" s="347"/>
      <c r="G55" s="390">
        <v>217</v>
      </c>
      <c r="H55" s="345"/>
      <c r="I55" s="370">
        <v>1200</v>
      </c>
      <c r="J55" s="395">
        <v>2200</v>
      </c>
      <c r="K55" s="357"/>
      <c r="L55" s="395">
        <v>2450</v>
      </c>
      <c r="M55" s="390" t="s">
        <v>1000</v>
      </c>
      <c r="N55" s="345"/>
    </row>
    <row r="56" spans="6:14">
      <c r="F56" s="347"/>
      <c r="G56" s="390">
        <v>218</v>
      </c>
      <c r="H56" s="345"/>
      <c r="I56" s="370">
        <v>1450</v>
      </c>
      <c r="J56" s="395">
        <v>2825</v>
      </c>
      <c r="K56" s="357"/>
      <c r="L56" s="395">
        <v>2975</v>
      </c>
      <c r="M56" s="390" t="s">
        <v>1002</v>
      </c>
      <c r="N56" s="345"/>
    </row>
    <row r="57" spans="6:14">
      <c r="F57" s="347"/>
      <c r="G57" s="390">
        <v>219</v>
      </c>
      <c r="H57" s="345"/>
      <c r="I57" s="370">
        <v>1200</v>
      </c>
      <c r="J57" s="395">
        <v>2145</v>
      </c>
      <c r="K57" s="357"/>
      <c r="L57" s="395">
        <v>2450</v>
      </c>
      <c r="M57" s="390" t="s">
        <v>1000</v>
      </c>
      <c r="N57" s="345"/>
    </row>
    <row r="58" spans="6:14">
      <c r="F58" s="347"/>
      <c r="G58" s="390">
        <v>220</v>
      </c>
      <c r="H58" s="345"/>
      <c r="I58" s="370">
        <v>1450</v>
      </c>
      <c r="J58" s="395">
        <v>2795</v>
      </c>
      <c r="K58" s="357"/>
      <c r="L58" s="395">
        <v>2975</v>
      </c>
      <c r="M58" s="390" t="s">
        <v>998</v>
      </c>
      <c r="N58" s="345"/>
    </row>
    <row r="59" spans="6:14">
      <c r="F59" s="347"/>
      <c r="G59" s="390">
        <v>221</v>
      </c>
      <c r="H59" s="345"/>
      <c r="I59" s="370">
        <v>1200</v>
      </c>
      <c r="J59" s="395">
        <v>2395</v>
      </c>
      <c r="K59" s="357"/>
      <c r="L59" s="395">
        <v>2450</v>
      </c>
      <c r="M59" s="390" t="s">
        <v>1001</v>
      </c>
      <c r="N59" s="345"/>
    </row>
    <row r="60" spans="6:14">
      <c r="F60" s="347"/>
      <c r="G60" s="390">
        <v>222</v>
      </c>
      <c r="H60" s="345"/>
      <c r="I60" s="370">
        <v>1200</v>
      </c>
      <c r="J60" s="395">
        <v>2185</v>
      </c>
      <c r="K60" s="357"/>
      <c r="L60" s="395">
        <v>2450</v>
      </c>
      <c r="M60" s="390" t="s">
        <v>1000</v>
      </c>
      <c r="N60" s="345"/>
    </row>
    <row r="61" spans="6:14">
      <c r="F61" s="347"/>
      <c r="G61" s="390">
        <v>223</v>
      </c>
      <c r="H61" s="345"/>
      <c r="I61" s="370">
        <v>1200</v>
      </c>
      <c r="J61" s="395">
        <v>2200</v>
      </c>
      <c r="K61" s="357"/>
      <c r="L61" s="395">
        <v>2450</v>
      </c>
      <c r="M61" s="390" t="s">
        <v>1001</v>
      </c>
      <c r="N61" s="345"/>
    </row>
    <row r="62" spans="6:14">
      <c r="F62" s="347"/>
      <c r="G62" s="390">
        <v>224</v>
      </c>
      <c r="H62" s="345"/>
      <c r="I62" s="370">
        <v>1450</v>
      </c>
      <c r="J62" s="395">
        <v>2592</v>
      </c>
      <c r="K62" s="357"/>
      <c r="L62" s="395">
        <v>2975</v>
      </c>
      <c r="M62" s="390" t="s">
        <v>998</v>
      </c>
      <c r="N62" s="345"/>
    </row>
    <row r="63" spans="6:14">
      <c r="F63" s="347"/>
      <c r="G63" s="390">
        <v>225</v>
      </c>
      <c r="H63" s="345"/>
      <c r="I63" s="370">
        <v>1200</v>
      </c>
      <c r="J63" s="395">
        <v>2115</v>
      </c>
      <c r="K63" s="357"/>
      <c r="L63" s="395">
        <v>2450</v>
      </c>
      <c r="M63" s="390" t="s">
        <v>1000</v>
      </c>
      <c r="N63" s="345"/>
    </row>
    <row r="64" spans="6:14">
      <c r="F64" s="347"/>
      <c r="G64" s="390">
        <v>226</v>
      </c>
      <c r="H64" s="345"/>
      <c r="I64" s="370">
        <v>1200</v>
      </c>
      <c r="J64" s="395">
        <v>2350</v>
      </c>
      <c r="K64" s="357"/>
      <c r="L64" s="395">
        <v>2450</v>
      </c>
      <c r="M64" s="390" t="s">
        <v>1000</v>
      </c>
      <c r="N64" s="345"/>
    </row>
    <row r="65" spans="6:14">
      <c r="F65" s="347"/>
      <c r="G65" s="390">
        <v>227</v>
      </c>
      <c r="H65" s="345"/>
      <c r="I65" s="370">
        <v>1200</v>
      </c>
      <c r="J65" s="395">
        <v>2025</v>
      </c>
      <c r="K65" s="357"/>
      <c r="L65" s="395">
        <v>2450</v>
      </c>
      <c r="M65" s="390" t="s">
        <v>1000</v>
      </c>
      <c r="N65" s="345"/>
    </row>
    <row r="66" spans="6:14">
      <c r="F66" s="347"/>
      <c r="G66" s="390">
        <v>228</v>
      </c>
      <c r="H66" s="345"/>
      <c r="I66" s="370">
        <v>1200</v>
      </c>
      <c r="J66" s="395">
        <v>2295</v>
      </c>
      <c r="K66" s="357"/>
      <c r="L66" s="395">
        <v>2450</v>
      </c>
      <c r="M66" s="390" t="s">
        <v>1000</v>
      </c>
      <c r="N66" s="345"/>
    </row>
    <row r="67" spans="6:14">
      <c r="F67" s="347"/>
      <c r="G67" s="390">
        <v>229</v>
      </c>
      <c r="H67" s="345"/>
      <c r="I67" s="370">
        <v>1200</v>
      </c>
      <c r="J67" s="395">
        <v>2250</v>
      </c>
      <c r="K67" s="357"/>
      <c r="L67" s="395">
        <v>2450</v>
      </c>
      <c r="M67" s="390" t="s">
        <v>1000</v>
      </c>
      <c r="N67" s="345"/>
    </row>
    <row r="68" spans="6:14">
      <c r="F68" s="347"/>
      <c r="G68" s="390">
        <v>230</v>
      </c>
      <c r="H68" s="345"/>
      <c r="I68" s="370">
        <v>1200</v>
      </c>
      <c r="J68" s="395">
        <v>2350</v>
      </c>
      <c r="K68" s="357"/>
      <c r="L68" s="395">
        <v>2450</v>
      </c>
      <c r="M68" s="390" t="s">
        <v>1001</v>
      </c>
      <c r="N68" s="345"/>
    </row>
    <row r="69" spans="6:14">
      <c r="F69" s="347"/>
      <c r="G69" s="390">
        <v>231</v>
      </c>
      <c r="H69" s="345"/>
      <c r="I69" s="370">
        <v>1200</v>
      </c>
      <c r="J69" s="395">
        <v>2425</v>
      </c>
      <c r="K69" s="357"/>
      <c r="L69" s="395">
        <v>2450</v>
      </c>
      <c r="M69" s="390" t="s">
        <v>1001</v>
      </c>
      <c r="N69" s="345"/>
    </row>
    <row r="70" spans="6:14">
      <c r="F70" s="347"/>
      <c r="G70" s="390">
        <v>232</v>
      </c>
      <c r="H70" s="345"/>
      <c r="I70" s="370">
        <v>1450</v>
      </c>
      <c r="J70" s="395">
        <v>2795</v>
      </c>
      <c r="K70" s="357"/>
      <c r="L70" s="395">
        <v>2975</v>
      </c>
      <c r="M70" s="390" t="s">
        <v>1002</v>
      </c>
      <c r="N70" s="345"/>
    </row>
    <row r="71" spans="6:14">
      <c r="F71" s="347"/>
      <c r="G71" s="390">
        <v>233</v>
      </c>
      <c r="H71" s="345"/>
      <c r="I71" s="370">
        <v>1350</v>
      </c>
      <c r="J71" s="395">
        <v>2750</v>
      </c>
      <c r="K71" s="357"/>
      <c r="L71" s="395">
        <v>2850</v>
      </c>
      <c r="M71" s="390" t="s">
        <v>999</v>
      </c>
      <c r="N71" s="345"/>
    </row>
  </sheetData>
  <mergeCells count="5">
    <mergeCell ref="O1:V1"/>
    <mergeCell ref="A1:M1"/>
    <mergeCell ref="A10:A11"/>
    <mergeCell ref="B10:B11"/>
    <mergeCell ref="C10:C11"/>
  </mergeCells>
  <conditionalFormatting sqref="I12:I71">
    <cfRule type="expression" dxfId="141" priority="1">
      <formula>$N$4="Total Gross Square Feet"</formula>
    </cfRule>
  </conditionalFormatting>
  <printOptions horizontalCentered="1" verticalCentered="1"/>
  <pageMargins left="0.5" right="0.5" top="1.75" bottom="0.5" header="0" footer="0"/>
  <pageSetup scale="50" fitToHeight="0" orientation="landscape" cellComments="atEnd" verticalDpi="0" r:id="rId1"/>
  <customProperties>
    <customPr name="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pageSetUpPr fitToPage="1"/>
  </sheetPr>
  <dimension ref="A1:AB205"/>
  <sheetViews>
    <sheetView workbookViewId="0">
      <selection activeCell="D2" sqref="D2"/>
    </sheetView>
  </sheetViews>
  <sheetFormatPr defaultColWidth="8.85546875" defaultRowHeight="12.75"/>
  <cols>
    <col min="1" max="1" width="47" bestFit="1" customWidth="1"/>
    <col min="2" max="2" width="22.42578125" bestFit="1" customWidth="1"/>
    <col min="3" max="3" width="35.5703125" bestFit="1" customWidth="1"/>
    <col min="4" max="4" width="22.140625" customWidth="1"/>
    <col min="5" max="5" width="23.140625" bestFit="1" customWidth="1"/>
    <col min="6" max="6" width="24.42578125" bestFit="1" customWidth="1"/>
    <col min="7" max="7" width="18.5703125" customWidth="1"/>
    <col min="8" max="8" width="15.5703125" customWidth="1"/>
    <col min="9" max="9" width="18.42578125" customWidth="1"/>
    <col min="10" max="10" width="14.5703125" bestFit="1" customWidth="1"/>
    <col min="11" max="11" width="13.5703125" customWidth="1"/>
    <col min="12" max="12" width="15.5703125" bestFit="1" customWidth="1"/>
    <col min="13" max="13" width="4" bestFit="1" customWidth="1"/>
    <col min="14" max="14" width="6.5703125" bestFit="1" customWidth="1"/>
    <col min="15" max="15" width="4" bestFit="1" customWidth="1"/>
    <col min="16" max="16" width="6.5703125" bestFit="1" customWidth="1"/>
    <col min="17" max="17" width="4" bestFit="1" customWidth="1"/>
    <col min="18" max="18" width="6.5703125" bestFit="1" customWidth="1"/>
    <col min="19" max="19" width="4" bestFit="1" customWidth="1"/>
    <col min="20" max="20" width="6.5703125" bestFit="1" customWidth="1"/>
    <col min="21" max="21" width="4" bestFit="1" customWidth="1"/>
    <col min="22" max="22" width="6.5703125" bestFit="1" customWidth="1"/>
  </cols>
  <sheetData>
    <row r="1" spans="1:28" ht="15">
      <c r="A1" s="460" t="s">
        <v>1003</v>
      </c>
      <c r="B1" s="460" t="s">
        <v>874</v>
      </c>
      <c r="C1" s="460" t="s">
        <v>1004</v>
      </c>
      <c r="D1" s="460" t="s">
        <v>1005</v>
      </c>
      <c r="E1" s="460"/>
      <c r="F1" s="460"/>
      <c r="G1" s="460"/>
      <c r="H1" s="460"/>
      <c r="I1" s="454"/>
      <c r="J1" s="454"/>
      <c r="K1" s="454"/>
      <c r="L1" s="454"/>
      <c r="M1" s="454"/>
      <c r="N1" s="454"/>
      <c r="O1" s="454"/>
      <c r="P1" s="454"/>
      <c r="Q1" s="454"/>
      <c r="R1" s="454"/>
      <c r="S1" s="454"/>
      <c r="T1" s="454"/>
      <c r="U1" s="454"/>
      <c r="V1" s="454"/>
      <c r="W1" s="454"/>
      <c r="X1" s="454"/>
      <c r="Y1" s="454"/>
      <c r="Z1" s="454"/>
      <c r="AA1" s="454"/>
      <c r="AB1" s="454"/>
    </row>
    <row r="2" spans="1:28" ht="15">
      <c r="A2" s="461" t="s">
        <v>0</v>
      </c>
      <c r="B2" s="454" t="s">
        <v>1006</v>
      </c>
      <c r="C2" s="454" t="s">
        <v>1007</v>
      </c>
      <c r="D2" s="462">
        <f>IFERROR(ROUND(IF(Priced="Priced",Price,0),0),0)</f>
        <v>9350000</v>
      </c>
      <c r="E2" s="463"/>
      <c r="F2" s="463"/>
      <c r="G2" s="463"/>
      <c r="H2" s="463"/>
      <c r="I2" s="454"/>
      <c r="J2" s="454"/>
      <c r="K2" s="454"/>
      <c r="L2" s="454"/>
      <c r="M2" s="454"/>
      <c r="N2" s="454"/>
      <c r="O2" s="454"/>
      <c r="P2" s="454"/>
      <c r="Q2" s="454"/>
      <c r="R2" s="454"/>
      <c r="S2" s="454"/>
      <c r="T2" s="454"/>
      <c r="U2" s="454"/>
      <c r="V2" s="454"/>
      <c r="W2" s="454"/>
      <c r="X2" s="454"/>
      <c r="Y2" s="454"/>
      <c r="Z2" s="454"/>
      <c r="AA2" s="454"/>
      <c r="AB2" s="454"/>
    </row>
    <row r="3" spans="1:28" ht="15">
      <c r="A3" s="461" t="s">
        <v>1008</v>
      </c>
      <c r="B3" s="454" t="s">
        <v>1006</v>
      </c>
      <c r="C3" s="454" t="s">
        <v>1009</v>
      </c>
      <c r="D3" s="464">
        <f>IFERROR(IF(Priced="Priced",IF('Pricing Detail'!G5=0,"",ROUND('Pricing Detail'!G5,0)),""),"")</f>
        <v>4207500</v>
      </c>
      <c r="E3" s="463"/>
      <c r="F3" s="463"/>
      <c r="G3" s="463"/>
      <c r="H3" s="463"/>
      <c r="I3" s="454"/>
      <c r="J3" s="454"/>
      <c r="K3" s="454"/>
      <c r="L3" s="454"/>
      <c r="M3" s="454"/>
      <c r="N3" s="454"/>
      <c r="O3" s="454"/>
      <c r="P3" s="454"/>
      <c r="Q3" s="454"/>
      <c r="R3" s="454"/>
      <c r="S3" s="454"/>
      <c r="T3" s="454"/>
      <c r="U3" s="454"/>
      <c r="V3" s="454"/>
      <c r="W3" s="454"/>
      <c r="X3" s="454"/>
      <c r="Y3" s="454"/>
      <c r="Z3" s="454"/>
      <c r="AA3" s="454"/>
      <c r="AB3" s="454"/>
    </row>
    <row r="4" spans="1:28" ht="15">
      <c r="A4" s="461" t="s">
        <v>1010</v>
      </c>
      <c r="B4" s="454" t="s">
        <v>1011</v>
      </c>
      <c r="C4" s="454" t="s">
        <v>1012</v>
      </c>
      <c r="D4" s="465">
        <f>IFERROR(IF(Priced="Priced",ROUND(DownCell/PriceCell,2),""),"")</f>
        <v>0.45</v>
      </c>
      <c r="E4" s="454"/>
      <c r="F4" s="454"/>
      <c r="G4" s="454"/>
      <c r="H4" s="454"/>
      <c r="I4" s="454"/>
      <c r="J4" s="454"/>
      <c r="K4" s="454"/>
      <c r="L4" s="454"/>
      <c r="M4" s="454"/>
      <c r="N4" s="454"/>
      <c r="O4" s="454"/>
      <c r="P4" s="454"/>
      <c r="Q4" s="454"/>
      <c r="R4" s="454"/>
      <c r="S4" s="454"/>
      <c r="T4" s="454"/>
      <c r="U4" s="454"/>
      <c r="V4" s="454"/>
      <c r="W4" s="454"/>
      <c r="X4" s="454"/>
      <c r="Y4" s="454"/>
      <c r="Z4" s="454"/>
      <c r="AA4" s="454"/>
      <c r="AB4" s="454"/>
    </row>
    <row r="5" spans="1:28" ht="15">
      <c r="A5" s="461" t="s">
        <v>1013</v>
      </c>
      <c r="B5" s="454"/>
      <c r="C5" s="454"/>
      <c r="D5" s="465"/>
      <c r="E5" s="454"/>
      <c r="F5" s="454"/>
      <c r="G5" s="454"/>
      <c r="H5" s="454"/>
      <c r="I5" s="454"/>
      <c r="J5" s="454"/>
      <c r="K5" s="454"/>
      <c r="L5" s="454"/>
      <c r="M5" s="454"/>
      <c r="N5" s="454"/>
      <c r="O5" s="454"/>
      <c r="P5" s="454"/>
      <c r="Q5" s="454"/>
      <c r="R5" s="454"/>
      <c r="S5" s="454"/>
      <c r="T5" s="454"/>
      <c r="U5" s="454"/>
      <c r="V5" s="454"/>
      <c r="W5" s="454"/>
      <c r="X5" s="454"/>
      <c r="Y5" s="454"/>
      <c r="Z5" s="454"/>
      <c r="AA5" s="454"/>
      <c r="AB5" s="454"/>
    </row>
    <row r="6" spans="1:28" ht="15">
      <c r="A6" s="466" t="s">
        <v>7</v>
      </c>
      <c r="B6" s="454" t="s">
        <v>1006</v>
      </c>
      <c r="C6" s="454" t="s">
        <v>1014</v>
      </c>
      <c r="D6" s="462">
        <f>IF(SwitchAcqMethod="All Cash","",IF(Debt!E12=0,"",ROUND(Debt!E12,0)))</f>
        <v>5142500</v>
      </c>
      <c r="E6" s="463"/>
      <c r="F6" s="463"/>
      <c r="G6" s="463"/>
      <c r="H6" s="463"/>
      <c r="I6" s="454"/>
      <c r="J6" s="454"/>
      <c r="K6" s="454"/>
      <c r="L6" s="454"/>
      <c r="M6" s="454"/>
      <c r="N6" s="454"/>
      <c r="O6" s="454"/>
      <c r="P6" s="454"/>
      <c r="Q6" s="454"/>
      <c r="R6" s="454"/>
      <c r="S6" s="454"/>
      <c r="T6" s="454"/>
      <c r="U6" s="454"/>
      <c r="V6" s="454"/>
      <c r="W6" s="454"/>
      <c r="X6" s="454"/>
      <c r="Y6" s="454"/>
      <c r="Z6" s="454"/>
      <c r="AA6" s="454"/>
      <c r="AB6" s="454"/>
    </row>
    <row r="7" spans="1:28" ht="15">
      <c r="A7" s="466" t="s">
        <v>11</v>
      </c>
      <c r="B7" s="454" t="s">
        <v>1015</v>
      </c>
      <c r="C7" s="454" t="s">
        <v>1016</v>
      </c>
      <c r="D7" s="467" t="str">
        <f>IF(SwitchAcqMethod="All Cash","All Cash",IF(SwitchAcqMethod="Financed - Assumed","Existing","Proposed New"))</f>
        <v>Proposed New</v>
      </c>
      <c r="E7" s="467"/>
      <c r="F7" s="467"/>
      <c r="G7" s="467"/>
      <c r="H7" s="467"/>
      <c r="N7" s="454"/>
      <c r="O7" s="454"/>
      <c r="P7" s="454"/>
      <c r="Q7" s="454"/>
      <c r="R7" s="454"/>
      <c r="S7" s="454"/>
      <c r="T7" s="454"/>
      <c r="U7" s="454"/>
      <c r="V7" s="454"/>
      <c r="W7" s="454"/>
      <c r="X7" s="454"/>
      <c r="Y7" s="454"/>
      <c r="Z7" s="454"/>
      <c r="AA7" s="454"/>
      <c r="AB7" s="454"/>
    </row>
    <row r="8" spans="1:28" ht="15">
      <c r="A8" s="466" t="s">
        <v>10</v>
      </c>
      <c r="B8" s="454" t="s">
        <v>1017</v>
      </c>
      <c r="C8" s="454" t="s">
        <v>1018</v>
      </c>
      <c r="D8" s="468">
        <f>IF(SwitchAcqMethod="All Cash","",ROUND(Debt!E13,4))</f>
        <v>5.7500000000000002E-2</v>
      </c>
      <c r="E8" s="468"/>
      <c r="F8" s="468"/>
      <c r="G8" s="468"/>
      <c r="H8" s="468"/>
      <c r="N8" s="454"/>
      <c r="O8" s="454"/>
      <c r="P8" s="454"/>
      <c r="Q8" s="454"/>
      <c r="R8" s="454"/>
      <c r="S8" s="454"/>
      <c r="T8" s="454"/>
      <c r="U8" s="454"/>
      <c r="V8" s="454"/>
      <c r="W8" s="454"/>
      <c r="X8" s="454"/>
      <c r="Y8" s="454"/>
      <c r="Z8" s="454"/>
      <c r="AA8" s="454"/>
      <c r="AB8" s="454"/>
    </row>
    <row r="9" spans="1:28" ht="15">
      <c r="A9" s="466" t="s">
        <v>12</v>
      </c>
      <c r="B9" s="454" t="s">
        <v>1019</v>
      </c>
      <c r="C9" s="454" t="s">
        <v>1020</v>
      </c>
      <c r="D9" s="454">
        <f>IF(SwitchAcqMethod="All Cash","",Debt!E17)</f>
        <v>30</v>
      </c>
      <c r="E9" s="454"/>
      <c r="F9" s="454"/>
      <c r="G9" s="454"/>
      <c r="H9" s="454"/>
      <c r="N9" s="454"/>
      <c r="O9" s="454"/>
      <c r="P9" s="454"/>
      <c r="Q9" s="454"/>
      <c r="R9" s="454"/>
      <c r="S9" s="454"/>
      <c r="T9" s="454"/>
      <c r="U9" s="454"/>
      <c r="V9" s="454"/>
      <c r="W9" s="454"/>
      <c r="X9" s="454"/>
      <c r="Y9" s="454"/>
      <c r="Z9" s="454"/>
      <c r="AA9" s="454"/>
      <c r="AB9" s="454"/>
    </row>
    <row r="10" spans="1:28" ht="15">
      <c r="A10" s="466" t="s">
        <v>1021</v>
      </c>
      <c r="B10" s="454" t="s">
        <v>1019</v>
      </c>
      <c r="C10" s="454" t="s">
        <v>1022</v>
      </c>
      <c r="D10" s="454">
        <f>IF(SwitchAcqMethod="All Cash","",Debt!E14)</f>
        <v>3</v>
      </c>
      <c r="E10" s="454"/>
      <c r="F10" s="454"/>
      <c r="G10" s="454"/>
      <c r="H10" s="454"/>
      <c r="I10" s="454"/>
      <c r="J10" s="454"/>
      <c r="K10" s="454"/>
      <c r="L10" s="454"/>
      <c r="M10" s="454"/>
      <c r="N10" s="454"/>
      <c r="O10" s="454"/>
      <c r="P10" s="454"/>
      <c r="Q10" s="454"/>
      <c r="R10" s="454"/>
      <c r="S10" s="454"/>
      <c r="T10" s="454"/>
      <c r="U10" s="454"/>
      <c r="V10" s="454"/>
      <c r="W10" s="454"/>
      <c r="X10" s="454"/>
      <c r="Y10" s="454"/>
      <c r="Z10" s="454"/>
      <c r="AA10" s="454"/>
      <c r="AB10" s="454"/>
    </row>
    <row r="11" spans="1:28" ht="15">
      <c r="A11" s="466" t="s">
        <v>1023</v>
      </c>
      <c r="B11" s="454" t="s">
        <v>1011</v>
      </c>
      <c r="C11" s="454" t="s">
        <v>1024</v>
      </c>
      <c r="D11" s="465">
        <f>IFERROR(ROUND(ModeledLoanAmount/PriceCell,2),"")</f>
        <v>0.55000000000000004</v>
      </c>
      <c r="E11" s="454"/>
      <c r="F11" s="454"/>
      <c r="G11" s="454"/>
      <c r="H11" s="454"/>
      <c r="I11" s="454"/>
      <c r="J11" s="454"/>
      <c r="K11" s="454"/>
      <c r="L11" s="454"/>
      <c r="M11" s="454"/>
      <c r="N11" s="454"/>
      <c r="O11" s="454"/>
      <c r="P11" s="454"/>
      <c r="Q11" s="454"/>
      <c r="R11" s="454"/>
      <c r="S11" s="454"/>
      <c r="T11" s="454"/>
      <c r="U11" s="454"/>
      <c r="V11" s="454"/>
      <c r="W11" s="454"/>
      <c r="X11" s="454"/>
      <c r="Y11" s="454"/>
      <c r="Z11" s="454"/>
      <c r="AA11" s="454"/>
      <c r="AB11" s="454"/>
    </row>
    <row r="12" spans="1:28" ht="15">
      <c r="A12" s="466" t="s">
        <v>1025</v>
      </c>
      <c r="B12" s="454" t="s">
        <v>1006</v>
      </c>
      <c r="C12" s="454" t="s">
        <v>1026</v>
      </c>
      <c r="D12" s="462">
        <f>IF(SwitchAcqMethod="All Cash","",ROUND(Debt!E19,0))</f>
        <v>-360123</v>
      </c>
      <c r="E12" s="454"/>
      <c r="F12" s="454"/>
      <c r="G12" s="454"/>
      <c r="H12" s="454"/>
      <c r="I12" s="455"/>
      <c r="J12" s="454"/>
      <c r="K12" s="454"/>
      <c r="L12" s="454"/>
      <c r="M12" s="454"/>
      <c r="N12" s="454"/>
      <c r="O12" s="454"/>
      <c r="P12" s="454"/>
      <c r="Q12" s="454"/>
      <c r="R12" s="454"/>
      <c r="S12" s="454"/>
      <c r="T12" s="454"/>
      <c r="U12" s="454"/>
      <c r="V12" s="454"/>
      <c r="W12" s="454"/>
      <c r="X12" s="454"/>
      <c r="Y12" s="454"/>
      <c r="Z12" s="454"/>
      <c r="AA12" s="454"/>
      <c r="AB12" s="454"/>
    </row>
    <row r="13" spans="1:28" ht="15">
      <c r="A13" s="469" t="s">
        <v>1027</v>
      </c>
      <c r="B13" s="454" t="s">
        <v>1028</v>
      </c>
      <c r="C13" s="454" t="s">
        <v>1029</v>
      </c>
      <c r="D13" s="470">
        <f>IFERROR(IF(Priced="Priced",ROUND('Pricing Detail'!G18,4),""),"")</f>
        <v>1.238</v>
      </c>
      <c r="E13" s="454"/>
      <c r="F13" s="454"/>
      <c r="G13" s="454"/>
      <c r="H13" s="454"/>
      <c r="I13" s="455"/>
      <c r="J13" s="454"/>
      <c r="K13" s="454"/>
      <c r="L13" s="454"/>
      <c r="M13" s="454"/>
      <c r="N13" s="454"/>
      <c r="O13" s="454"/>
      <c r="P13" s="454"/>
      <c r="Q13" s="454"/>
      <c r="R13" s="454"/>
      <c r="S13" s="454"/>
      <c r="T13" s="454"/>
      <c r="U13" s="454"/>
      <c r="V13" s="454"/>
      <c r="W13" s="454"/>
      <c r="X13" s="454"/>
      <c r="Y13" s="454"/>
      <c r="Z13" s="454"/>
      <c r="AA13" s="454"/>
      <c r="AB13" s="454"/>
    </row>
    <row r="14" spans="1:28" ht="15">
      <c r="A14" s="471" t="s">
        <v>1030</v>
      </c>
      <c r="B14" s="454"/>
      <c r="C14" s="454"/>
      <c r="D14" s="465"/>
      <c r="E14" s="454"/>
      <c r="F14" s="454"/>
      <c r="G14" s="454"/>
      <c r="H14" s="454"/>
      <c r="I14" s="455"/>
      <c r="J14" s="454"/>
      <c r="K14" s="454"/>
      <c r="L14" s="454"/>
      <c r="M14" s="454"/>
      <c r="N14" s="454"/>
      <c r="O14" s="454"/>
      <c r="P14" s="454"/>
      <c r="Q14" s="454"/>
      <c r="R14" s="454"/>
      <c r="S14" s="454"/>
      <c r="T14" s="454"/>
      <c r="U14" s="454"/>
      <c r="V14" s="454"/>
      <c r="W14" s="454"/>
      <c r="X14" s="454"/>
      <c r="Y14" s="454"/>
      <c r="Z14" s="454"/>
      <c r="AA14" s="454"/>
      <c r="AB14" s="454"/>
    </row>
    <row r="15" spans="1:28" ht="15">
      <c r="A15" s="469" t="s">
        <v>7</v>
      </c>
      <c r="B15" s="454" t="s">
        <v>1006</v>
      </c>
      <c r="C15" s="454" t="s">
        <v>1031</v>
      </c>
      <c r="D15" s="462" t="str">
        <f>IF(OR(SwitchAcqMethod="All Cash",SwitchMezz&lt;&gt;"Yes"),"",ROUND(Debt!G12,0))</f>
        <v/>
      </c>
      <c r="E15" s="454"/>
      <c r="F15" s="454"/>
      <c r="G15" s="454"/>
      <c r="H15" s="454"/>
      <c r="I15" s="455"/>
      <c r="J15" s="454"/>
      <c r="K15" s="454"/>
      <c r="L15" s="454"/>
      <c r="M15" s="454"/>
      <c r="N15" s="454"/>
      <c r="O15" s="454"/>
      <c r="P15" s="454"/>
      <c r="Q15" s="454"/>
      <c r="R15" s="454"/>
      <c r="S15" s="454"/>
      <c r="T15" s="454"/>
      <c r="U15" s="454"/>
      <c r="V15" s="454"/>
      <c r="W15" s="454"/>
      <c r="X15" s="454"/>
      <c r="Y15" s="454"/>
      <c r="Z15" s="454"/>
      <c r="AA15" s="454"/>
      <c r="AB15" s="454"/>
    </row>
    <row r="16" spans="1:28" ht="15">
      <c r="A16" s="469" t="s">
        <v>11</v>
      </c>
      <c r="B16" s="454" t="s">
        <v>1015</v>
      </c>
      <c r="C16" s="454" t="s">
        <v>1032</v>
      </c>
      <c r="D16" s="467" t="str">
        <f>IF(OR(SwitchAcqMethod="All Cash",SwitchMezz&lt;&gt;"Yes"),"All Cash","Proposed New")</f>
        <v>All Cash</v>
      </c>
      <c r="E16" s="454"/>
      <c r="F16" s="454"/>
      <c r="G16" s="454"/>
      <c r="H16" s="454"/>
      <c r="I16" s="455"/>
      <c r="J16" s="454"/>
      <c r="K16" s="454"/>
      <c r="L16" s="454"/>
      <c r="M16" s="454"/>
      <c r="N16" s="454"/>
      <c r="O16" s="454"/>
      <c r="P16" s="454"/>
      <c r="Q16" s="454"/>
      <c r="R16" s="454"/>
      <c r="S16" s="454"/>
      <c r="T16" s="454"/>
      <c r="U16" s="454"/>
      <c r="V16" s="454"/>
      <c r="W16" s="454"/>
      <c r="X16" s="454"/>
      <c r="Y16" s="454"/>
      <c r="Z16" s="454"/>
      <c r="AA16" s="454"/>
      <c r="AB16" s="454"/>
    </row>
    <row r="17" spans="1:28" ht="15">
      <c r="A17" s="469" t="s">
        <v>10</v>
      </c>
      <c r="B17" s="454" t="s">
        <v>1017</v>
      </c>
      <c r="C17" s="454" t="s">
        <v>1033</v>
      </c>
      <c r="D17" s="468" t="str">
        <f>IF(OR(SwitchAcqMethod="All Cash",SwitchMezz&lt;&gt;"Yes"),"",ROUND(Debt!G13,4))</f>
        <v/>
      </c>
      <c r="E17" s="454"/>
      <c r="F17" s="454"/>
      <c r="G17" s="454"/>
      <c r="H17" s="454"/>
      <c r="I17" s="455"/>
      <c r="J17" s="454"/>
      <c r="K17" s="454"/>
      <c r="L17" s="454"/>
      <c r="M17" s="454"/>
      <c r="N17" s="454"/>
      <c r="O17" s="454"/>
      <c r="P17" s="454"/>
      <c r="Q17" s="454"/>
      <c r="R17" s="454"/>
      <c r="S17" s="454"/>
      <c r="T17" s="454"/>
      <c r="U17" s="454"/>
      <c r="V17" s="454"/>
      <c r="W17" s="454"/>
      <c r="X17" s="454"/>
      <c r="Y17" s="454"/>
      <c r="Z17" s="454"/>
      <c r="AA17" s="454"/>
      <c r="AB17" s="454"/>
    </row>
    <row r="18" spans="1:28" ht="15">
      <c r="A18" s="469" t="s">
        <v>12</v>
      </c>
      <c r="B18" s="454" t="s">
        <v>1019</v>
      </c>
      <c r="C18" s="454" t="s">
        <v>1034</v>
      </c>
      <c r="D18" s="472" t="str">
        <f>IF(OR(SwitchAcqMethod="All Cash",SwitchMezz&lt;&gt;"Yes"),"",Debt!G17)</f>
        <v/>
      </c>
      <c r="E18" s="454"/>
      <c r="F18" s="454"/>
      <c r="G18" s="454"/>
      <c r="H18" s="454"/>
      <c r="I18" s="455"/>
      <c r="J18" s="454"/>
      <c r="K18" s="454"/>
      <c r="L18" s="454"/>
      <c r="M18" s="454"/>
      <c r="N18" s="454"/>
      <c r="O18" s="454"/>
      <c r="P18" s="454"/>
      <c r="Q18" s="454"/>
      <c r="R18" s="454"/>
      <c r="S18" s="454"/>
      <c r="T18" s="454"/>
      <c r="U18" s="454"/>
      <c r="V18" s="454"/>
      <c r="W18" s="454"/>
      <c r="X18" s="454"/>
      <c r="Y18" s="454"/>
      <c r="Z18" s="454"/>
      <c r="AA18" s="454"/>
      <c r="AB18" s="454"/>
    </row>
    <row r="19" spans="1:28" ht="15">
      <c r="A19" s="469" t="s">
        <v>1021</v>
      </c>
      <c r="B19" s="454" t="s">
        <v>1019</v>
      </c>
      <c r="C19" s="454" t="s">
        <v>1035</v>
      </c>
      <c r="D19" s="472" t="str">
        <f>IF(OR(SwitchAcqMethod="All Cash",SwitchMezz&lt;&gt;"Yes"),"",Debt!G14)</f>
        <v/>
      </c>
      <c r="E19" s="454"/>
      <c r="F19" s="454"/>
      <c r="G19" s="454"/>
      <c r="H19" s="454"/>
      <c r="I19" s="455"/>
      <c r="J19" s="454"/>
      <c r="K19" s="454"/>
      <c r="L19" s="454"/>
      <c r="M19" s="454"/>
      <c r="N19" s="454"/>
      <c r="O19" s="454"/>
      <c r="P19" s="454"/>
      <c r="Q19" s="454"/>
      <c r="R19" s="454"/>
      <c r="S19" s="454"/>
      <c r="T19" s="454"/>
      <c r="U19" s="454"/>
      <c r="V19" s="454"/>
      <c r="W19" s="454"/>
      <c r="X19" s="454"/>
      <c r="Y19" s="454"/>
      <c r="Z19" s="454"/>
      <c r="AA19" s="454"/>
      <c r="AB19" s="454"/>
    </row>
    <row r="20" spans="1:28" ht="15">
      <c r="A20" s="469" t="s">
        <v>1023</v>
      </c>
      <c r="B20" s="454" t="s">
        <v>1011</v>
      </c>
      <c r="C20" s="454" t="s">
        <v>1036</v>
      </c>
      <c r="D20" s="473" t="str">
        <f>IFERROR(IF(OR(SwitchAcqMethod="All Cash",SwitchMezz&lt;&gt;"Yes"),"",ROUND(ModeledLoanAmount2/PriceCell,2)),0)</f>
        <v/>
      </c>
      <c r="E20" s="454"/>
      <c r="F20" s="454"/>
      <c r="G20" s="454"/>
      <c r="H20" s="454"/>
      <c r="I20" s="455"/>
      <c r="J20" s="454"/>
      <c r="K20" s="454"/>
      <c r="L20" s="454"/>
      <c r="M20" s="454"/>
      <c r="N20" s="454"/>
      <c r="O20" s="454"/>
      <c r="P20" s="454"/>
      <c r="Q20" s="454"/>
      <c r="R20" s="454"/>
      <c r="S20" s="454"/>
      <c r="T20" s="454"/>
      <c r="U20" s="454"/>
      <c r="V20" s="454"/>
      <c r="W20" s="454"/>
      <c r="X20" s="454"/>
      <c r="Y20" s="454"/>
      <c r="Z20" s="454"/>
      <c r="AA20" s="454"/>
      <c r="AB20" s="454"/>
    </row>
    <row r="21" spans="1:28" ht="15">
      <c r="A21" s="469" t="s">
        <v>1025</v>
      </c>
      <c r="B21" s="454" t="s">
        <v>1006</v>
      </c>
      <c r="C21" s="454" t="s">
        <v>1037</v>
      </c>
      <c r="D21" s="474" t="str">
        <f>IF(OR(SwitchAcqMethod="All Cash",SwitchMezz&lt;&gt;"Yes"),"",ROUND(Debt!G19,0))</f>
        <v/>
      </c>
      <c r="E21" s="454"/>
      <c r="F21" s="454"/>
      <c r="G21" s="454"/>
      <c r="H21" s="454"/>
      <c r="I21" s="455"/>
      <c r="J21" s="454"/>
      <c r="K21" s="454"/>
      <c r="L21" s="454"/>
      <c r="M21" s="454"/>
      <c r="N21" s="454"/>
      <c r="O21" s="454"/>
      <c r="P21" s="454"/>
      <c r="Q21" s="454"/>
      <c r="R21" s="454"/>
      <c r="S21" s="454"/>
      <c r="T21" s="454"/>
      <c r="U21" s="454"/>
      <c r="V21" s="454"/>
      <c r="W21" s="454"/>
      <c r="X21" s="454"/>
      <c r="Y21" s="454"/>
      <c r="Z21" s="454"/>
      <c r="AA21" s="454"/>
      <c r="AB21" s="454"/>
    </row>
    <row r="22" spans="1:28" ht="15">
      <c r="A22" s="471" t="s">
        <v>1038</v>
      </c>
      <c r="B22" s="454"/>
      <c r="C22" s="454"/>
      <c r="D22" s="470"/>
      <c r="E22" s="470"/>
      <c r="F22" s="454"/>
      <c r="G22" s="454"/>
      <c r="H22" s="454"/>
      <c r="I22" s="455"/>
      <c r="J22" s="454"/>
      <c r="K22" s="454"/>
      <c r="L22" s="454"/>
      <c r="M22" s="454"/>
      <c r="N22" s="454"/>
      <c r="O22" s="454"/>
      <c r="P22" s="454"/>
      <c r="Q22" s="454"/>
      <c r="R22" s="454"/>
      <c r="S22" s="454"/>
      <c r="T22" s="454"/>
      <c r="U22" s="454"/>
      <c r="V22" s="454"/>
      <c r="W22" s="454"/>
      <c r="X22" s="454"/>
      <c r="Y22" s="454"/>
      <c r="Z22" s="454"/>
      <c r="AA22" s="454"/>
      <c r="AB22" s="454"/>
    </row>
    <row r="23" spans="1:28" ht="15">
      <c r="A23" s="469" t="s">
        <v>7</v>
      </c>
      <c r="B23" s="454" t="s">
        <v>1006</v>
      </c>
      <c r="C23" s="454" t="s">
        <v>1039</v>
      </c>
      <c r="D23" s="463" t="str">
        <f>IF(SwitchExistingDebt="No","",IF(InputELoanBal="","",ROUND(InputELoanBal,0)))</f>
        <v/>
      </c>
      <c r="E23" s="470"/>
      <c r="F23" s="454"/>
      <c r="G23" s="454"/>
      <c r="H23" s="454"/>
      <c r="I23" s="455"/>
      <c r="J23" s="454"/>
      <c r="K23" s="454"/>
      <c r="L23" s="454"/>
      <c r="M23" s="454"/>
      <c r="N23" s="454"/>
      <c r="O23" s="454"/>
      <c r="P23" s="454"/>
      <c r="Q23" s="454"/>
      <c r="R23" s="454"/>
      <c r="S23" s="454"/>
      <c r="T23" s="454"/>
      <c r="U23" s="454"/>
      <c r="V23" s="454"/>
      <c r="W23" s="454"/>
      <c r="X23" s="454"/>
      <c r="Y23" s="454"/>
      <c r="Z23" s="454"/>
      <c r="AA23" s="454"/>
      <c r="AB23" s="454"/>
    </row>
    <row r="24" spans="1:28" ht="15">
      <c r="A24" s="469" t="s">
        <v>11</v>
      </c>
      <c r="B24" s="454" t="s">
        <v>1015</v>
      </c>
      <c r="C24" s="454" t="s">
        <v>1040</v>
      </c>
      <c r="D24" s="475" t="str">
        <f>IF(SwitchExistingDebt="No","",IF(Input!B54="","",Input!B54))</f>
        <v/>
      </c>
      <c r="E24" s="470"/>
      <c r="F24" s="454"/>
      <c r="G24" s="454"/>
      <c r="H24" s="454"/>
      <c r="I24" s="455"/>
      <c r="J24" s="454"/>
      <c r="K24" s="454"/>
      <c r="L24" s="454"/>
      <c r="M24" s="454"/>
      <c r="N24" s="454"/>
      <c r="O24" s="454"/>
      <c r="P24" s="454"/>
      <c r="Q24" s="454"/>
      <c r="R24" s="454"/>
      <c r="S24" s="454"/>
      <c r="T24" s="454"/>
      <c r="U24" s="454"/>
      <c r="V24" s="454"/>
      <c r="W24" s="454"/>
      <c r="X24" s="454"/>
      <c r="Y24" s="454"/>
      <c r="Z24" s="454"/>
      <c r="AA24" s="454"/>
      <c r="AB24" s="454"/>
    </row>
    <row r="25" spans="1:28" ht="15">
      <c r="A25" s="469" t="s">
        <v>10</v>
      </c>
      <c r="B25" s="454" t="s">
        <v>1017</v>
      </c>
      <c r="C25" s="454" t="s">
        <v>1041</v>
      </c>
      <c r="D25" s="468" t="str">
        <f>IF(SwitchExistingDebt="No","",IF(SwitchExistingDebt="Yes, Loan Amount is Known",IF(Input!B47="","",ROUND(Input!B47,4)),ROUND(Debt!E13,4)))</f>
        <v/>
      </c>
      <c r="E25" s="470"/>
      <c r="F25" s="454"/>
      <c r="G25" s="454"/>
      <c r="H25" s="454"/>
      <c r="I25" s="455"/>
      <c r="J25" s="454"/>
      <c r="K25" s="454"/>
      <c r="L25" s="454"/>
      <c r="M25" s="454"/>
      <c r="N25" s="454"/>
      <c r="O25" s="454"/>
      <c r="P25" s="454"/>
      <c r="Q25" s="454"/>
      <c r="R25" s="454"/>
      <c r="S25" s="454"/>
      <c r="T25" s="454"/>
      <c r="U25" s="454"/>
      <c r="V25" s="454"/>
      <c r="W25" s="454"/>
      <c r="X25" s="454"/>
      <c r="Y25" s="454"/>
      <c r="Z25" s="454"/>
      <c r="AA25" s="454"/>
      <c r="AB25" s="454"/>
    </row>
    <row r="26" spans="1:28" ht="15">
      <c r="A26" s="469" t="s">
        <v>12</v>
      </c>
      <c r="B26" s="454" t="s">
        <v>1019</v>
      </c>
      <c r="C26" s="454" t="s">
        <v>1042</v>
      </c>
      <c r="D26" s="472" t="str">
        <f>IF(SwitchExistingDebt="No","",IF(SwitchExistingDebt="Yes, Loan Amount is Known",IF(Input!B48="","",Input!B48),Debt!E17))</f>
        <v/>
      </c>
      <c r="E26" s="470"/>
      <c r="F26" s="454"/>
      <c r="G26" s="454"/>
      <c r="H26" s="454"/>
      <c r="I26" s="455"/>
      <c r="J26" s="454"/>
      <c r="K26" s="454"/>
      <c r="L26" s="454"/>
      <c r="M26" s="454"/>
      <c r="N26" s="454"/>
      <c r="O26" s="454"/>
      <c r="P26" s="454"/>
      <c r="Q26" s="454"/>
      <c r="R26" s="454"/>
      <c r="S26" s="454"/>
      <c r="T26" s="454"/>
      <c r="U26" s="454"/>
      <c r="V26" s="454"/>
      <c r="W26" s="454"/>
      <c r="X26" s="454"/>
      <c r="Y26" s="454"/>
      <c r="Z26" s="454"/>
      <c r="AA26" s="454"/>
      <c r="AB26" s="454"/>
    </row>
    <row r="27" spans="1:28" ht="15">
      <c r="A27" s="469" t="s">
        <v>1043</v>
      </c>
      <c r="B27" s="454" t="s">
        <v>1019</v>
      </c>
      <c r="C27" s="454" t="s">
        <v>1044</v>
      </c>
      <c r="D27" s="472" t="str">
        <f>IF(SwitchExistingDebt="No","",IF(SwitchExistingDebt="Yes, Loan Amount is Known",IF(Input!B49="","",Input!B49),Debt!E14))</f>
        <v/>
      </c>
      <c r="E27" s="470"/>
      <c r="F27" s="454"/>
      <c r="G27" s="454"/>
      <c r="H27" s="454"/>
      <c r="I27" s="455"/>
      <c r="J27" s="454"/>
      <c r="K27" s="454"/>
      <c r="L27" s="454"/>
      <c r="M27" s="454"/>
      <c r="N27" s="454"/>
      <c r="O27" s="454"/>
      <c r="P27" s="454"/>
      <c r="Q27" s="454"/>
      <c r="R27" s="454"/>
      <c r="S27" s="454"/>
      <c r="T27" s="454"/>
      <c r="U27" s="454"/>
      <c r="V27" s="454"/>
      <c r="W27" s="454"/>
      <c r="X27" s="454"/>
      <c r="Y27" s="454"/>
      <c r="Z27" s="454"/>
      <c r="AA27" s="454"/>
      <c r="AB27" s="454"/>
    </row>
    <row r="28" spans="1:28" ht="15">
      <c r="A28" s="469" t="s">
        <v>20</v>
      </c>
      <c r="B28" s="454" t="s">
        <v>1045</v>
      </c>
      <c r="C28" s="454" t="s">
        <v>1046</v>
      </c>
      <c r="D28" s="476" t="str">
        <f>IF(SwitchExistingDebt="No","",IF(SwitchExistingDebt="Yes, Loan Amount is Known",IF(Input!B50="","",Input!B50),Debt!E15))</f>
        <v/>
      </c>
      <c r="E28" s="470"/>
      <c r="F28" s="454"/>
      <c r="G28" s="454"/>
      <c r="H28" s="454"/>
      <c r="I28" s="455"/>
      <c r="J28" s="454"/>
      <c r="K28" s="454"/>
      <c r="L28" s="454"/>
      <c r="M28" s="454"/>
      <c r="N28" s="454"/>
      <c r="O28" s="454"/>
      <c r="P28" s="454"/>
      <c r="Q28" s="454"/>
      <c r="R28" s="454"/>
      <c r="S28" s="454"/>
      <c r="T28" s="454"/>
      <c r="U28" s="454"/>
      <c r="V28" s="454"/>
      <c r="W28" s="454"/>
      <c r="X28" s="454"/>
      <c r="Y28" s="454"/>
      <c r="Z28" s="454"/>
      <c r="AA28" s="454"/>
      <c r="AB28" s="454"/>
    </row>
    <row r="29" spans="1:28" ht="15">
      <c r="A29" s="469" t="s">
        <v>1047</v>
      </c>
      <c r="B29" s="454" t="s">
        <v>1006</v>
      </c>
      <c r="C29" s="454" t="s">
        <v>1048</v>
      </c>
      <c r="D29" s="474" t="str">
        <f>IF(SwitchExistingDebt="No","",IF(SwitchExistingDebt="Yes, Loan Amount is Known",IF(Input!B51="","",Input!B51),Debt!E19/12))</f>
        <v/>
      </c>
      <c r="E29" s="470"/>
      <c r="F29" s="454"/>
      <c r="G29" s="454"/>
      <c r="H29" s="454"/>
      <c r="I29" s="455"/>
      <c r="J29" s="454"/>
      <c r="K29" s="454"/>
      <c r="L29" s="454"/>
      <c r="M29" s="454"/>
      <c r="N29" s="454"/>
      <c r="O29" s="454"/>
      <c r="P29" s="454"/>
      <c r="Q29" s="454"/>
      <c r="R29" s="454"/>
      <c r="S29" s="454"/>
      <c r="T29" s="454"/>
      <c r="U29" s="454"/>
      <c r="V29" s="454"/>
      <c r="W29" s="454"/>
      <c r="X29" s="454"/>
      <c r="Y29" s="454"/>
      <c r="Z29" s="454"/>
      <c r="AA29" s="454"/>
      <c r="AB29" s="454"/>
    </row>
    <row r="30" spans="1:28" ht="15">
      <c r="A30" s="469" t="s">
        <v>29</v>
      </c>
      <c r="B30" s="454" t="s">
        <v>1015</v>
      </c>
      <c r="C30" s="454" t="s">
        <v>1049</v>
      </c>
      <c r="D30" s="514" t="str">
        <f>IF(SwitchExistingDebt="No","",IF(SwitchExistingDebt="Yes, Loan Amount is Known",IF(Input!B52="","",Input!B52),Debt!E29))</f>
        <v/>
      </c>
      <c r="E30" s="470"/>
      <c r="F30" s="454"/>
      <c r="G30" s="454"/>
      <c r="H30" s="454"/>
      <c r="I30" s="455"/>
      <c r="J30" s="454"/>
      <c r="K30" s="454"/>
      <c r="L30" s="454"/>
      <c r="M30" s="454"/>
      <c r="N30" s="454"/>
      <c r="O30" s="454"/>
      <c r="P30" s="454"/>
      <c r="Q30" s="454"/>
      <c r="R30" s="454"/>
      <c r="S30" s="454"/>
      <c r="T30" s="454"/>
      <c r="U30" s="454"/>
      <c r="V30" s="454"/>
      <c r="W30" s="454"/>
      <c r="X30" s="454"/>
      <c r="Y30" s="454"/>
      <c r="Z30" s="454"/>
      <c r="AA30" s="454"/>
      <c r="AB30" s="454"/>
    </row>
    <row r="31" spans="1:28" ht="15">
      <c r="A31" s="469" t="s">
        <v>26</v>
      </c>
      <c r="B31" s="454" t="s">
        <v>1006</v>
      </c>
      <c r="C31" s="454" t="s">
        <v>1050</v>
      </c>
      <c r="D31" s="514" t="str">
        <f>IF(SwitchExistingDebt="No","",IF(SwitchExistingDebt="Yes, Loan Amount is Known",IF(Input!B53="","",Input!B53),Debt!E24))</f>
        <v/>
      </c>
      <c r="E31" s="470"/>
      <c r="F31" s="454"/>
      <c r="G31" s="454"/>
      <c r="H31" s="454"/>
      <c r="I31" s="455"/>
      <c r="J31" s="454"/>
      <c r="K31" s="454"/>
      <c r="L31" s="454"/>
      <c r="M31" s="454"/>
      <c r="N31" s="454"/>
      <c r="O31" s="454"/>
      <c r="P31" s="454"/>
      <c r="Q31" s="454"/>
      <c r="R31" s="454"/>
      <c r="S31" s="454"/>
      <c r="T31" s="454"/>
      <c r="U31" s="454"/>
      <c r="V31" s="454"/>
      <c r="W31" s="454"/>
      <c r="X31" s="454"/>
      <c r="Y31" s="454"/>
      <c r="Z31" s="454"/>
      <c r="AA31" s="454"/>
      <c r="AB31" s="454"/>
    </row>
    <row r="32" spans="1:28" ht="15">
      <c r="A32" s="471" t="s">
        <v>1051</v>
      </c>
      <c r="B32" s="454" t="s">
        <v>1019</v>
      </c>
      <c r="C32" s="454" t="s">
        <v>1052</v>
      </c>
      <c r="D32" s="472">
        <f>IF(TotalUnits="",0,TotalUnits)</f>
        <v>27</v>
      </c>
      <c r="E32" s="470"/>
      <c r="F32" s="454"/>
      <c r="G32" s="454"/>
      <c r="H32" s="454"/>
      <c r="I32" s="455"/>
      <c r="J32" s="454"/>
      <c r="K32" s="454"/>
      <c r="L32" s="454"/>
      <c r="M32" s="454"/>
      <c r="N32" s="454"/>
      <c r="O32" s="454"/>
      <c r="P32" s="454"/>
      <c r="Q32" s="454"/>
      <c r="R32" s="454"/>
      <c r="S32" s="454"/>
      <c r="T32" s="454"/>
      <c r="U32" s="454"/>
      <c r="V32" s="454"/>
      <c r="W32" s="454"/>
      <c r="X32" s="454"/>
      <c r="Y32" s="454"/>
      <c r="Z32" s="454"/>
      <c r="AA32" s="454"/>
      <c r="AB32" s="454"/>
    </row>
    <row r="33" spans="1:28" ht="15">
      <c r="A33" s="471" t="s">
        <v>1053</v>
      </c>
      <c r="B33" s="454" t="s">
        <v>1006</v>
      </c>
      <c r="C33" s="454" t="s">
        <v>1054</v>
      </c>
      <c r="D33" s="463">
        <f>IFERROR(IF(Priced="Priced",ROUND(PriceCell/TotalUnitCountCell,0),""),"")</f>
        <v>346296</v>
      </c>
      <c r="E33" s="470"/>
      <c r="F33" s="454"/>
      <c r="G33" s="454"/>
      <c r="H33" s="454"/>
      <c r="I33" s="455"/>
      <c r="J33" s="454"/>
      <c r="K33" s="454"/>
      <c r="L33" s="454"/>
      <c r="M33" s="454"/>
      <c r="N33" s="454"/>
      <c r="O33" s="454"/>
      <c r="P33" s="454"/>
      <c r="Q33" s="454"/>
      <c r="R33" s="454"/>
      <c r="S33" s="454"/>
      <c r="T33" s="454"/>
      <c r="U33" s="454"/>
      <c r="V33" s="454"/>
      <c r="W33" s="454"/>
      <c r="X33" s="454"/>
      <c r="Y33" s="454"/>
      <c r="Z33" s="454"/>
      <c r="AA33" s="454"/>
      <c r="AB33" s="454"/>
    </row>
    <row r="34" spans="1:28" ht="15">
      <c r="A34" s="461" t="s">
        <v>1055</v>
      </c>
      <c r="B34" s="454" t="s">
        <v>1056</v>
      </c>
      <c r="C34" s="454" t="s">
        <v>1057</v>
      </c>
      <c r="D34" s="477">
        <f>IFERROR(IF(Priced="Priced",ROUND(Price/TotalRentableSFCell,2),""),"")</f>
        <v>428.9</v>
      </c>
      <c r="E34" s="477"/>
      <c r="F34" s="454"/>
      <c r="G34" s="454"/>
      <c r="H34" s="454"/>
      <c r="I34" s="455"/>
      <c r="J34" s="454"/>
      <c r="K34" s="454"/>
      <c r="L34" s="454"/>
      <c r="M34" s="454"/>
      <c r="N34" s="454"/>
      <c r="O34" s="454"/>
      <c r="P34" s="454"/>
      <c r="Q34" s="454"/>
      <c r="R34" s="454"/>
      <c r="S34" s="454"/>
      <c r="T34" s="454"/>
      <c r="U34" s="454"/>
      <c r="V34" s="454"/>
      <c r="W34" s="454"/>
      <c r="X34" s="454"/>
      <c r="Y34" s="454"/>
      <c r="Z34" s="454"/>
      <c r="AA34" s="454"/>
      <c r="AB34" s="454"/>
    </row>
    <row r="35" spans="1:28" ht="15">
      <c r="A35" s="471" t="s">
        <v>1058</v>
      </c>
      <c r="B35" s="454" t="s">
        <v>1015</v>
      </c>
      <c r="C35" s="454" t="s">
        <v>1059</v>
      </c>
      <c r="D35" s="478" t="str">
        <f>IFERROR(IF(Input!B28=0,"",Input!B28),"")</f>
        <v>Fee Simple</v>
      </c>
      <c r="E35" s="470"/>
      <c r="F35" s="454"/>
      <c r="G35" s="454"/>
      <c r="H35" s="454"/>
      <c r="I35" s="455"/>
      <c r="J35" s="454"/>
      <c r="K35" s="454"/>
      <c r="L35" s="454"/>
      <c r="M35" s="454"/>
      <c r="N35" s="454"/>
      <c r="O35" s="454"/>
      <c r="P35" s="454"/>
      <c r="Q35" s="454"/>
      <c r="R35" s="454"/>
      <c r="S35" s="454"/>
      <c r="T35" s="454"/>
      <c r="U35" s="454"/>
      <c r="V35" s="454"/>
      <c r="W35" s="454"/>
      <c r="X35" s="454"/>
      <c r="Y35" s="454"/>
      <c r="Z35" s="454"/>
      <c r="AA35" s="454"/>
      <c r="AB35" s="454"/>
    </row>
    <row r="36" spans="1:28" ht="15">
      <c r="A36" s="461" t="s">
        <v>1060</v>
      </c>
      <c r="B36" s="454" t="s">
        <v>1019</v>
      </c>
      <c r="C36" s="454" t="s">
        <v>1061</v>
      </c>
      <c r="D36" s="479">
        <f>IFERROR(IF('Rent Roll Summary'!T36="","",IF(SUM('Rent Roll Summary'!$T$11:$T$35)=0,TotalGrossSFCell,ROUND(SUM('Rent Roll Summary'!$T$11:$T$35),0))),"")</f>
        <v>21800</v>
      </c>
      <c r="E36" s="454"/>
      <c r="F36" s="454"/>
      <c r="G36" s="454"/>
      <c r="H36" s="454"/>
      <c r="I36" s="454"/>
      <c r="J36" s="454"/>
      <c r="K36" s="454"/>
      <c r="L36" s="454"/>
      <c r="M36" s="454"/>
      <c r="N36" s="454"/>
      <c r="O36" s="454"/>
      <c r="P36" s="454"/>
      <c r="Q36" s="454"/>
      <c r="R36" s="454"/>
      <c r="S36" s="454"/>
      <c r="T36" s="454"/>
      <c r="U36" s="454"/>
      <c r="V36" s="454"/>
      <c r="W36" s="454"/>
      <c r="X36" s="454"/>
      <c r="Y36" s="454"/>
      <c r="Z36" s="454"/>
      <c r="AA36" s="454"/>
      <c r="AB36" s="454"/>
    </row>
    <row r="37" spans="1:28" ht="15">
      <c r="A37" s="461" t="s">
        <v>1062</v>
      </c>
      <c r="B37" s="454" t="s">
        <v>1019</v>
      </c>
      <c r="C37" s="454" t="s">
        <v>1063</v>
      </c>
      <c r="D37" s="479">
        <f>IF(SwitchRentRollType="Detail",IF(RRD_UnitSize="Total Gross Square Feet",IF(RRD_TotalGross="","",IF(RRD_TotalGross=0,0,RRD_TotalGross)),'Pricing Detail'!G9),IF('Rent Roll Summary Input'!R5="Total Gross Square Feet",IF('Rent Roll Summary Input'!R9="","",IF('Rent Roll Summary Input'!R9=0,0,'Rent Roll Summary Input'!R9)),'Pricing Detail'!G9))</f>
        <v>22674</v>
      </c>
      <c r="E37" s="454"/>
      <c r="F37" s="454"/>
      <c r="G37" s="454"/>
      <c r="H37" s="454"/>
      <c r="I37" s="454"/>
      <c r="J37" s="454"/>
      <c r="K37" s="454"/>
      <c r="L37" s="454"/>
      <c r="M37" s="454"/>
      <c r="N37" s="454"/>
      <c r="O37" s="454"/>
      <c r="P37" s="454"/>
      <c r="Q37" s="454"/>
      <c r="R37" s="454"/>
      <c r="S37" s="454"/>
      <c r="T37" s="454"/>
      <c r="U37" s="454"/>
      <c r="V37" s="454"/>
      <c r="W37" s="454"/>
      <c r="X37" s="454"/>
      <c r="Y37" s="454"/>
      <c r="Z37" s="454"/>
      <c r="AA37" s="454"/>
      <c r="AB37" s="454"/>
    </row>
    <row r="38" spans="1:28" ht="15">
      <c r="A38" s="461" t="s">
        <v>1064</v>
      </c>
      <c r="B38" s="454" t="s">
        <v>1011</v>
      </c>
      <c r="C38" s="454" t="s">
        <v>1065</v>
      </c>
      <c r="D38" s="480">
        <f>IFERROR(ROUND(IF('Operating Statement'!P9="","",1-'Operating Statement'!P9),2),"")</f>
        <v>0.95</v>
      </c>
      <c r="E38" s="480"/>
      <c r="F38" s="454"/>
      <c r="G38" s="454"/>
      <c r="H38" s="454"/>
      <c r="I38" s="454"/>
      <c r="J38" s="454"/>
      <c r="K38" s="454"/>
      <c r="L38" s="454"/>
      <c r="M38" s="454"/>
      <c r="N38" s="454"/>
      <c r="O38" s="454"/>
      <c r="P38" s="454"/>
      <c r="Q38" s="454"/>
      <c r="R38" s="454"/>
      <c r="S38" s="454"/>
      <c r="T38" s="454"/>
      <c r="U38" s="454"/>
      <c r="V38" s="454"/>
      <c r="W38" s="454"/>
      <c r="X38" s="454"/>
      <c r="Y38" s="454"/>
      <c r="Z38" s="454"/>
      <c r="AA38" s="454"/>
      <c r="AB38" s="454"/>
    </row>
    <row r="39" spans="1:28" ht="15">
      <c r="A39" s="461" t="s">
        <v>1066</v>
      </c>
      <c r="B39" s="454" t="s">
        <v>1011</v>
      </c>
      <c r="C39" s="454" t="s">
        <v>1067</v>
      </c>
      <c r="D39" s="480">
        <f>IFERROR(ROUND(IF('Operating Statement'!R9="","",1-'Operating Statement'!R9),2),"")</f>
        <v>0.95</v>
      </c>
      <c r="E39" s="480"/>
      <c r="F39" s="454"/>
      <c r="G39" s="454"/>
      <c r="H39" s="454"/>
      <c r="I39" s="454"/>
      <c r="J39" s="454"/>
      <c r="K39" s="454"/>
      <c r="L39" s="454"/>
      <c r="M39" s="454"/>
      <c r="N39" s="454"/>
      <c r="O39" s="454"/>
      <c r="P39" s="454"/>
      <c r="Q39" s="454"/>
      <c r="R39" s="454"/>
      <c r="S39" s="454"/>
      <c r="T39" s="454"/>
      <c r="U39" s="454"/>
      <c r="V39" s="454"/>
      <c r="W39" s="454"/>
      <c r="X39" s="454"/>
      <c r="Y39" s="454"/>
      <c r="Z39" s="454"/>
      <c r="AA39" s="454"/>
      <c r="AB39" s="454"/>
    </row>
    <row r="40" spans="1:28" ht="15">
      <c r="A40" s="461" t="s">
        <v>1068</v>
      </c>
      <c r="B40" s="454" t="s">
        <v>1019</v>
      </c>
      <c r="C40" s="454" t="s">
        <v>1069</v>
      </c>
      <c r="D40" s="467">
        <f>IFERROR(IF(Input!B27="","",Input!B27),"")</f>
        <v>1953</v>
      </c>
      <c r="E40" s="454"/>
      <c r="F40" s="454"/>
      <c r="G40" s="454"/>
      <c r="H40" s="454"/>
      <c r="I40" s="454"/>
      <c r="J40" s="454"/>
      <c r="K40" s="454"/>
      <c r="L40" s="454"/>
      <c r="M40" s="454"/>
      <c r="N40" s="454"/>
      <c r="O40" s="454"/>
      <c r="P40" s="454"/>
      <c r="Q40" s="454"/>
      <c r="R40" s="454"/>
      <c r="S40" s="454"/>
      <c r="T40" s="454"/>
      <c r="U40" s="454"/>
      <c r="V40" s="454"/>
      <c r="W40" s="454"/>
      <c r="X40" s="454"/>
      <c r="Y40" s="454"/>
      <c r="Z40" s="454"/>
      <c r="AA40" s="454"/>
      <c r="AB40" s="454"/>
    </row>
    <row r="41" spans="1:28" ht="15">
      <c r="A41" s="461" t="s">
        <v>1070</v>
      </c>
      <c r="B41" s="454" t="s">
        <v>1019</v>
      </c>
      <c r="C41" s="454" t="s">
        <v>1071</v>
      </c>
      <c r="D41" s="481">
        <f>IF(Input!B13="","",ROUND(Input!B13*43560,0))</f>
        <v>48787</v>
      </c>
      <c r="E41" s="454"/>
      <c r="F41" s="454"/>
      <c r="G41" s="454"/>
      <c r="H41" s="454"/>
      <c r="I41" s="454"/>
      <c r="J41" s="454"/>
      <c r="K41" s="454"/>
      <c r="L41" s="454"/>
      <c r="M41" s="454"/>
      <c r="N41" s="454"/>
      <c r="O41" s="454"/>
      <c r="P41" s="454"/>
      <c r="Q41" s="454"/>
      <c r="R41" s="454"/>
      <c r="S41" s="454"/>
      <c r="T41" s="454"/>
      <c r="U41" s="454"/>
      <c r="V41" s="454"/>
      <c r="W41" s="454"/>
      <c r="X41" s="454"/>
      <c r="Y41" s="454"/>
      <c r="Z41" s="454"/>
      <c r="AA41" s="454"/>
      <c r="AB41" s="454"/>
    </row>
    <row r="42" spans="1:28" ht="15">
      <c r="A42" s="461" t="s">
        <v>1072</v>
      </c>
      <c r="B42" s="454" t="s">
        <v>1015</v>
      </c>
      <c r="C42" s="454" t="s">
        <v>1073</v>
      </c>
      <c r="D42" s="467" t="str">
        <f>IF('Operating Statement'!O4="","Current",'Operating Statement'!O4)</f>
        <v>Current</v>
      </c>
      <c r="E42" s="454"/>
      <c r="F42" s="454"/>
      <c r="G42" s="454"/>
      <c r="H42" s="454"/>
      <c r="I42" s="454"/>
      <c r="J42" s="454"/>
      <c r="K42" s="454"/>
      <c r="L42" s="454"/>
      <c r="M42" s="454"/>
      <c r="N42" s="454"/>
      <c r="O42" s="454"/>
      <c r="P42" s="454"/>
      <c r="Q42" s="454"/>
      <c r="R42" s="454"/>
      <c r="S42" s="454"/>
      <c r="T42" s="454"/>
      <c r="U42" s="454"/>
      <c r="V42" s="454"/>
      <c r="W42" s="454"/>
      <c r="X42" s="454"/>
      <c r="Y42" s="454"/>
      <c r="Z42" s="454"/>
      <c r="AA42" s="454"/>
      <c r="AB42" s="454"/>
    </row>
    <row r="43" spans="1:28" ht="15">
      <c r="A43" s="461" t="s">
        <v>1074</v>
      </c>
      <c r="B43" s="454" t="s">
        <v>1015</v>
      </c>
      <c r="C43" s="454" t="s">
        <v>1075</v>
      </c>
      <c r="D43" s="467" t="str">
        <f>IF('Operating Statement'!Q4="","Year 1",'Operating Statement'!Q4)</f>
        <v>Pro Forma</v>
      </c>
      <c r="E43" s="454"/>
      <c r="F43" s="454"/>
      <c r="G43" s="454"/>
      <c r="H43" s="454"/>
      <c r="I43" s="454"/>
      <c r="J43" s="454"/>
      <c r="K43" s="454"/>
      <c r="L43" s="454"/>
      <c r="M43" s="454"/>
      <c r="N43" s="454"/>
      <c r="O43" s="454"/>
      <c r="P43" s="454"/>
      <c r="Q43" s="454"/>
      <c r="R43" s="454"/>
      <c r="S43" s="454"/>
      <c r="T43" s="454"/>
      <c r="U43" s="454"/>
      <c r="V43" s="454"/>
      <c r="W43" s="454"/>
      <c r="X43" s="454"/>
      <c r="Y43" s="454"/>
      <c r="Z43" s="454"/>
      <c r="AA43" s="454"/>
      <c r="AB43" s="454"/>
    </row>
    <row r="44" spans="1:28" ht="15">
      <c r="A44" s="461" t="s">
        <v>1076</v>
      </c>
      <c r="B44" s="454" t="s">
        <v>1017</v>
      </c>
      <c r="C44" s="454" t="s">
        <v>1077</v>
      </c>
      <c r="D44" s="468">
        <f>IFERROR(IF(Priced="Priced",IF('Pricing Detail'!G15=0,"",ROUND('Pricing Detail'!G15,4)),""),"")</f>
        <v>4.7699999999999999E-2</v>
      </c>
      <c r="E44" s="454"/>
      <c r="F44" s="454"/>
      <c r="G44" s="454"/>
      <c r="H44" s="454"/>
      <c r="I44" s="454"/>
      <c r="J44" s="454"/>
      <c r="K44" s="454"/>
      <c r="L44" s="454"/>
      <c r="M44" s="454"/>
      <c r="N44" s="454"/>
      <c r="O44" s="454"/>
      <c r="P44" s="454"/>
      <c r="Q44" s="454"/>
      <c r="R44" s="454"/>
      <c r="S44" s="454"/>
      <c r="T44" s="454"/>
      <c r="U44" s="454"/>
      <c r="V44" s="454"/>
      <c r="W44" s="454"/>
      <c r="X44" s="454"/>
      <c r="Y44" s="454"/>
      <c r="Z44" s="454"/>
      <c r="AA44" s="454"/>
      <c r="AB44" s="454"/>
    </row>
    <row r="45" spans="1:28" ht="15">
      <c r="A45" s="461" t="s">
        <v>1078</v>
      </c>
      <c r="B45" s="454" t="s">
        <v>1017</v>
      </c>
      <c r="C45" s="454" t="s">
        <v>1079</v>
      </c>
      <c r="D45" s="468">
        <f>IFERROR(IF(Priced="Priced",IF('Pricing Detail'!H15=0,"",ROUND('Pricing Detail'!H15,4)),""),"")</f>
        <v>6.1100000000000002E-2</v>
      </c>
      <c r="E45" s="454"/>
      <c r="F45" s="454"/>
      <c r="G45" s="454"/>
      <c r="H45" s="454"/>
      <c r="I45" s="454"/>
      <c r="J45" s="454"/>
      <c r="K45" s="454"/>
      <c r="L45" s="454"/>
      <c r="M45" s="454"/>
      <c r="N45" s="454"/>
      <c r="O45" s="454"/>
      <c r="P45" s="454"/>
      <c r="Q45" s="454"/>
      <c r="R45" s="454"/>
      <c r="S45" s="454"/>
      <c r="T45" s="454"/>
      <c r="U45" s="454"/>
      <c r="V45" s="454"/>
      <c r="W45" s="454"/>
      <c r="X45" s="454"/>
      <c r="Y45" s="454"/>
      <c r="Z45" s="454"/>
      <c r="AA45" s="454"/>
      <c r="AB45" s="454"/>
    </row>
    <row r="46" spans="1:28" ht="15">
      <c r="A46" s="482" t="s">
        <v>1080</v>
      </c>
      <c r="B46" s="454" t="s">
        <v>1028</v>
      </c>
      <c r="C46" s="454" t="s">
        <v>1081</v>
      </c>
      <c r="D46" s="530">
        <f>IFERROR(IF(Priced="Priced",IF('Pricing Detail'!G16=0,"",ROUND('Pricing Detail'!G16,2)),""),"")</f>
        <v>12.62</v>
      </c>
      <c r="E46" s="454"/>
      <c r="F46" s="454"/>
      <c r="G46" s="454"/>
      <c r="H46" s="454"/>
      <c r="I46" s="454"/>
      <c r="J46" s="454"/>
      <c r="K46" s="454"/>
      <c r="L46" s="454"/>
      <c r="M46" s="454"/>
      <c r="N46" s="454"/>
      <c r="O46" s="454"/>
      <c r="P46" s="454"/>
      <c r="Q46" s="454"/>
      <c r="R46" s="454"/>
      <c r="S46" s="454"/>
      <c r="T46" s="454"/>
      <c r="U46" s="454"/>
      <c r="V46" s="454"/>
      <c r="W46" s="454"/>
      <c r="X46" s="454"/>
      <c r="Y46" s="454"/>
      <c r="Z46" s="454"/>
      <c r="AA46" s="454"/>
      <c r="AB46" s="454"/>
    </row>
    <row r="47" spans="1:28" ht="15">
      <c r="A47" s="482" t="s">
        <v>1082</v>
      </c>
      <c r="B47" s="454" t="s">
        <v>1028</v>
      </c>
      <c r="C47" s="454" t="s">
        <v>1083</v>
      </c>
      <c r="D47" s="530">
        <f>IFERROR(IF('Pricing Detail'!G16=0,"",ROUND('Pricing Detail'!H16,2)),0)</f>
        <v>10.65</v>
      </c>
      <c r="E47" s="454"/>
      <c r="F47" s="454"/>
      <c r="G47" s="454"/>
      <c r="H47" s="454"/>
      <c r="I47" s="454"/>
      <c r="J47" s="454"/>
      <c r="K47" s="454"/>
      <c r="L47" s="454"/>
      <c r="M47" s="454"/>
      <c r="N47" s="454"/>
      <c r="O47" s="454"/>
      <c r="P47" s="454"/>
      <c r="Q47" s="454"/>
      <c r="R47" s="454"/>
      <c r="S47" s="454"/>
      <c r="T47" s="454"/>
      <c r="U47" s="454"/>
      <c r="V47" s="454"/>
      <c r="W47" s="454"/>
      <c r="X47" s="454"/>
      <c r="Y47" s="454"/>
      <c r="Z47" s="454"/>
      <c r="AA47" s="454"/>
      <c r="AB47" s="454"/>
    </row>
    <row r="48" spans="1:28" ht="15">
      <c r="A48" s="461" t="s">
        <v>1084</v>
      </c>
      <c r="B48" s="454" t="s">
        <v>1006</v>
      </c>
      <c r="C48" s="454" t="s">
        <v>1085</v>
      </c>
      <c r="D48" s="483">
        <f>IF('Pricing Detail'!N13=0,"",ROUND('Pricing Detail'!N13,0))</f>
        <v>445836</v>
      </c>
      <c r="E48" s="454"/>
      <c r="F48" s="454"/>
      <c r="G48" s="454"/>
      <c r="H48" s="454"/>
      <c r="I48" s="454"/>
      <c r="J48" s="454"/>
      <c r="K48" s="454"/>
      <c r="L48" s="454"/>
      <c r="M48" s="454"/>
      <c r="N48" s="454"/>
      <c r="O48" s="454"/>
      <c r="P48" s="454"/>
      <c r="Q48" s="454"/>
      <c r="R48" s="454"/>
      <c r="S48" s="454"/>
      <c r="T48" s="454"/>
      <c r="U48" s="454"/>
      <c r="V48" s="454"/>
      <c r="W48" s="454"/>
      <c r="X48" s="454"/>
      <c r="Y48" s="454"/>
      <c r="Z48" s="454"/>
      <c r="AA48" s="454"/>
      <c r="AB48" s="454"/>
    </row>
    <row r="49" spans="1:28" ht="15">
      <c r="A49" s="461" t="s">
        <v>1086</v>
      </c>
      <c r="B49" s="454" t="s">
        <v>1056</v>
      </c>
      <c r="C49" s="454" t="s">
        <v>1087</v>
      </c>
      <c r="D49" s="484">
        <f>IFERROR(ROUND(NOICell/TotalRentableSFCell,2),"")</f>
        <v>20.45</v>
      </c>
      <c r="E49" s="454"/>
      <c r="F49" s="454"/>
      <c r="G49" s="454"/>
      <c r="H49" s="454"/>
      <c r="I49" s="454"/>
      <c r="J49" s="454"/>
      <c r="K49" s="454"/>
      <c r="L49" s="454"/>
      <c r="M49" s="454"/>
      <c r="N49" s="454"/>
      <c r="O49" s="454"/>
      <c r="P49" s="454"/>
      <c r="Q49" s="454"/>
      <c r="R49" s="454"/>
      <c r="S49" s="454"/>
      <c r="T49" s="454"/>
      <c r="U49" s="454"/>
      <c r="V49" s="454"/>
      <c r="W49" s="454"/>
      <c r="X49" s="454"/>
      <c r="Y49" s="454"/>
      <c r="Z49" s="454"/>
      <c r="AA49" s="454"/>
      <c r="AB49" s="454"/>
    </row>
    <row r="50" spans="1:28" ht="15">
      <c r="A50" s="461" t="s">
        <v>1088</v>
      </c>
      <c r="B50" s="454" t="s">
        <v>1006</v>
      </c>
      <c r="C50" s="454" t="s">
        <v>1089</v>
      </c>
      <c r="D50" s="485">
        <f>IFERROR(IF('Pricing Detail'!P13=0,"",ROUND('Pricing Detail'!P13,0)),0)</f>
        <v>571265</v>
      </c>
      <c r="E50" s="454"/>
      <c r="F50" s="454"/>
      <c r="G50" s="454"/>
      <c r="H50" s="454"/>
      <c r="I50" s="454"/>
      <c r="J50" s="454"/>
      <c r="K50" s="454"/>
      <c r="L50" s="454"/>
      <c r="M50" s="454"/>
      <c r="N50" s="454"/>
      <c r="O50" s="454"/>
      <c r="P50" s="454"/>
      <c r="Q50" s="454"/>
      <c r="R50" s="454"/>
      <c r="S50" s="454"/>
      <c r="T50" s="454"/>
      <c r="U50" s="454"/>
      <c r="V50" s="454"/>
      <c r="W50" s="454"/>
      <c r="X50" s="454"/>
      <c r="Y50" s="454"/>
      <c r="Z50" s="454"/>
      <c r="AA50" s="454"/>
      <c r="AB50" s="454"/>
    </row>
    <row r="51" spans="1:28" ht="15">
      <c r="A51" s="461" t="s">
        <v>1090</v>
      </c>
      <c r="B51" s="454" t="s">
        <v>1006</v>
      </c>
      <c r="C51" s="454" t="s">
        <v>1091</v>
      </c>
      <c r="D51" s="463">
        <f>IFERROR(IF(SwitchAcqMethod="All Cash", IF(NOICell=0,"",ROUND(NOICell,0)),IF('Pricing Detail'!N16=0,"",ROUND('Pricing Detail'!N16,0))),"")</f>
        <v>85713</v>
      </c>
      <c r="E51" s="454"/>
      <c r="F51" s="454"/>
      <c r="G51" s="454"/>
      <c r="H51" s="454"/>
      <c r="I51" s="454"/>
      <c r="J51" s="454"/>
      <c r="K51" s="454"/>
      <c r="L51" s="454"/>
      <c r="M51" s="454"/>
      <c r="N51" s="454"/>
      <c r="O51" s="454"/>
      <c r="P51" s="454"/>
      <c r="Q51" s="454"/>
      <c r="R51" s="454"/>
      <c r="S51" s="454"/>
      <c r="T51" s="454"/>
      <c r="U51" s="454"/>
      <c r="V51" s="454"/>
      <c r="W51" s="454"/>
      <c r="X51" s="454"/>
      <c r="Y51" s="454"/>
      <c r="Z51" s="454"/>
      <c r="AA51" s="454"/>
      <c r="AB51" s="454"/>
    </row>
    <row r="52" spans="1:28" ht="15">
      <c r="A52" s="461" t="s">
        <v>1092</v>
      </c>
      <c r="B52" s="454" t="s">
        <v>1006</v>
      </c>
      <c r="C52" s="454" t="s">
        <v>1093</v>
      </c>
      <c r="D52" s="463">
        <f>IF('Pricing Detail'!P16=0,"",ROUND('Pricing Detail'!P16,0))</f>
        <v>211142</v>
      </c>
      <c r="E52" s="454"/>
      <c r="F52" s="454"/>
      <c r="G52" s="454"/>
      <c r="H52" s="454"/>
      <c r="I52" s="454"/>
      <c r="J52" s="454"/>
      <c r="K52" s="454"/>
      <c r="L52" s="454"/>
      <c r="M52" s="454"/>
      <c r="N52" s="454"/>
      <c r="O52" s="454"/>
      <c r="P52" s="454"/>
      <c r="Q52" s="454"/>
      <c r="R52" s="454"/>
      <c r="S52" s="454"/>
      <c r="T52" s="454"/>
      <c r="U52" s="454"/>
      <c r="V52" s="454"/>
      <c r="W52" s="454"/>
      <c r="X52" s="454"/>
      <c r="Y52" s="454"/>
      <c r="Z52" s="454"/>
      <c r="AA52" s="454"/>
      <c r="AB52" s="454"/>
    </row>
    <row r="53" spans="1:28" ht="15">
      <c r="A53" s="461" t="s">
        <v>1094</v>
      </c>
      <c r="B53" s="454" t="s">
        <v>1017</v>
      </c>
      <c r="C53" s="454" t="s">
        <v>1095</v>
      </c>
      <c r="D53" s="486">
        <f>IFERROR(IF(Priced="Priced",IF(SwitchAcqMethod="All Cash",ROUND(NOICell/Price,4),ROUND(NCFADS1Cell/DownCell,4)),""),"")</f>
        <v>2.0400000000000001E-2</v>
      </c>
      <c r="E53" s="454"/>
      <c r="F53" s="454"/>
      <c r="G53" s="454"/>
      <c r="H53" s="454"/>
      <c r="I53" s="454"/>
      <c r="J53" s="454"/>
      <c r="K53" s="454"/>
      <c r="L53" s="454"/>
      <c r="M53" s="454"/>
      <c r="N53" s="454"/>
      <c r="O53" s="454"/>
      <c r="P53" s="454"/>
      <c r="Q53" s="454"/>
      <c r="R53" s="454"/>
      <c r="S53" s="454"/>
      <c r="T53" s="454"/>
      <c r="U53" s="454"/>
      <c r="V53" s="454"/>
      <c r="W53" s="454"/>
      <c r="X53" s="454"/>
      <c r="Y53" s="454"/>
      <c r="Z53" s="454"/>
      <c r="AA53" s="454"/>
      <c r="AB53" s="454"/>
    </row>
    <row r="54" spans="1:28" ht="15">
      <c r="A54" s="461" t="s">
        <v>1096</v>
      </c>
      <c r="B54" s="454" t="s">
        <v>1017</v>
      </c>
      <c r="C54" s="454" t="s">
        <v>1097</v>
      </c>
      <c r="D54" s="486">
        <f>IFERROR(IF(Priced="Priced",IF('Pricing Detail'!O16=0,"",ROUND('Pricing Detail'!O16,4)),""),"")</f>
        <v>5.0200000000000002E-2</v>
      </c>
      <c r="E54" s="454"/>
      <c r="F54" s="454"/>
      <c r="G54" s="454"/>
      <c r="H54" s="454"/>
      <c r="I54" s="454"/>
      <c r="J54" s="454"/>
      <c r="K54" s="454"/>
      <c r="L54" s="454"/>
      <c r="M54" s="454"/>
      <c r="N54" s="454"/>
      <c r="O54" s="454"/>
      <c r="P54" s="454"/>
      <c r="Q54" s="454"/>
      <c r="R54" s="454"/>
      <c r="S54" s="454"/>
      <c r="T54" s="454"/>
      <c r="U54" s="454"/>
      <c r="V54" s="454"/>
      <c r="W54" s="454"/>
      <c r="X54" s="454"/>
      <c r="Y54" s="454"/>
      <c r="Z54" s="454"/>
      <c r="AA54" s="454"/>
      <c r="AB54" s="454"/>
    </row>
    <row r="55" spans="1:28" ht="15">
      <c r="A55" s="461" t="s">
        <v>1098</v>
      </c>
      <c r="B55" s="454" t="s">
        <v>1006</v>
      </c>
      <c r="C55" s="454" t="s">
        <v>1099</v>
      </c>
      <c r="D55" s="483">
        <f>IFERROR(IF('Pricing Detail'!N18=0,"",ROUND('Pricing Detail'!N18,4)),0)</f>
        <v>151867.69519999999</v>
      </c>
      <c r="E55" s="454"/>
      <c r="F55" s="454"/>
      <c r="G55" s="454"/>
      <c r="H55" s="454"/>
      <c r="I55" s="454"/>
      <c r="J55" s="454"/>
      <c r="K55" s="454"/>
      <c r="L55" s="454"/>
      <c r="M55" s="454"/>
      <c r="N55" s="454"/>
      <c r="O55" s="454"/>
      <c r="P55" s="454"/>
      <c r="Q55" s="454"/>
      <c r="R55" s="454"/>
      <c r="S55" s="454"/>
      <c r="T55" s="454"/>
      <c r="U55" s="454"/>
      <c r="V55" s="454"/>
      <c r="W55" s="454"/>
      <c r="X55" s="454"/>
      <c r="Y55" s="454"/>
      <c r="Z55" s="454"/>
      <c r="AA55" s="454"/>
      <c r="AB55" s="454"/>
    </row>
    <row r="56" spans="1:28" ht="15">
      <c r="A56" s="461" t="s">
        <v>1100</v>
      </c>
      <c r="B56" s="454" t="s">
        <v>1006</v>
      </c>
      <c r="C56" s="454" t="s">
        <v>1101</v>
      </c>
      <c r="D56" s="483">
        <f>IFERROR(IF('Pricing Detail'!P18=0,"",ROUND('Pricing Detail'!P18,0)),0)</f>
        <v>281203</v>
      </c>
      <c r="E56" s="454"/>
      <c r="F56" s="454"/>
      <c r="G56" s="454"/>
      <c r="H56" s="454"/>
      <c r="I56" s="454"/>
      <c r="J56" s="454"/>
      <c r="K56" s="454"/>
      <c r="L56" s="454"/>
      <c r="M56" s="454"/>
      <c r="N56" s="454"/>
      <c r="O56" s="454"/>
      <c r="P56" s="454"/>
      <c r="Q56" s="454"/>
      <c r="R56" s="454"/>
      <c r="S56" s="454"/>
      <c r="T56" s="454"/>
      <c r="U56" s="454"/>
      <c r="V56" s="454"/>
      <c r="W56" s="454"/>
      <c r="X56" s="454"/>
      <c r="Y56" s="454"/>
      <c r="Z56" s="454"/>
      <c r="AA56" s="454"/>
      <c r="AB56" s="454"/>
    </row>
    <row r="57" spans="1:28" ht="15">
      <c r="A57" s="461" t="s">
        <v>1102</v>
      </c>
      <c r="B57" s="454" t="s">
        <v>1017</v>
      </c>
      <c r="C57" s="454" t="s">
        <v>1103</v>
      </c>
      <c r="D57" s="468">
        <f>IFERROR(IF(Priced="Priced",IF(SwitchAcqMethod="All Cash",ROUND(TotalReturnCurrency1Cell/Price,4),ROUND(TotalReturnCurrency1Cell/DownCell,4)),"-"),"")</f>
        <v>3.61E-2</v>
      </c>
      <c r="E57" s="454"/>
      <c r="F57" s="454"/>
      <c r="G57" s="454"/>
      <c r="H57" s="454"/>
      <c r="I57" s="454"/>
      <c r="J57" s="454"/>
      <c r="K57" s="454"/>
      <c r="L57" s="454"/>
      <c r="M57" s="454"/>
      <c r="N57" s="454"/>
      <c r="O57" s="454"/>
      <c r="P57" s="454"/>
      <c r="Q57" s="454"/>
      <c r="R57" s="454"/>
      <c r="S57" s="454"/>
      <c r="T57" s="454"/>
      <c r="U57" s="454"/>
      <c r="V57" s="454"/>
      <c r="W57" s="454"/>
      <c r="X57" s="454"/>
      <c r="Y57" s="454"/>
      <c r="Z57" s="454"/>
      <c r="AA57" s="454"/>
      <c r="AB57" s="454"/>
    </row>
    <row r="58" spans="1:28" ht="15">
      <c r="A58" s="461" t="s">
        <v>1104</v>
      </c>
      <c r="B58" s="454" t="s">
        <v>1017</v>
      </c>
      <c r="C58" s="454" t="s">
        <v>1105</v>
      </c>
      <c r="D58" s="468">
        <f>IFERROR(IF(Priced="Priced",IF('Pricing Detail'!O18=0,"",ROUND('Pricing Detail'!O18,4)),""),"")</f>
        <v>6.6799999999999998E-2</v>
      </c>
      <c r="E58" s="454"/>
      <c r="F58" s="454"/>
      <c r="G58" s="454"/>
      <c r="H58" s="454"/>
      <c r="I58" s="454"/>
      <c r="J58" s="454"/>
      <c r="K58" s="454"/>
      <c r="L58" s="454"/>
      <c r="M58" s="454"/>
      <c r="N58" s="454"/>
      <c r="O58" s="454"/>
      <c r="P58" s="454"/>
      <c r="Q58" s="454"/>
      <c r="R58" s="454"/>
      <c r="S58" s="454"/>
      <c r="T58" s="454"/>
      <c r="U58" s="454"/>
      <c r="V58" s="454"/>
      <c r="W58" s="454"/>
      <c r="X58" s="454"/>
      <c r="Y58" s="454"/>
      <c r="Z58" s="454"/>
      <c r="AA58" s="454"/>
      <c r="AB58" s="454"/>
    </row>
    <row r="59" spans="1:28" ht="15">
      <c r="A59" s="461" t="s">
        <v>1106</v>
      </c>
      <c r="B59" s="454" t="s">
        <v>1006</v>
      </c>
      <c r="C59" s="454" t="s">
        <v>1107</v>
      </c>
      <c r="D59" s="487" t="s">
        <v>85</v>
      </c>
      <c r="E59" s="488">
        <f>IF('Equity Returns Options'!C10=0,"",ROUND('Equity Returns Options'!C10,0))</f>
        <v>9350000</v>
      </c>
      <c r="F59" s="454"/>
      <c r="G59" s="454"/>
      <c r="H59" s="454"/>
      <c r="I59" s="454"/>
      <c r="J59" s="454"/>
      <c r="K59" s="454"/>
      <c r="L59" s="454"/>
      <c r="M59" s="454"/>
      <c r="N59" s="454"/>
      <c r="O59" s="454"/>
      <c r="P59" s="454"/>
      <c r="Q59" s="454"/>
      <c r="R59" s="454"/>
      <c r="S59" s="454"/>
      <c r="T59" s="454"/>
      <c r="U59" s="454"/>
      <c r="V59" s="454"/>
      <c r="W59" s="454"/>
      <c r="X59" s="454"/>
      <c r="Y59" s="454"/>
      <c r="Z59" s="454"/>
      <c r="AA59" s="454"/>
      <c r="AB59" s="454"/>
    </row>
    <row r="60" spans="1:28" ht="15">
      <c r="A60" s="454" t="s">
        <v>1106</v>
      </c>
      <c r="B60" s="454" t="s">
        <v>1017</v>
      </c>
      <c r="C60" s="454" t="s">
        <v>1107</v>
      </c>
      <c r="D60" s="489" t="s">
        <v>10</v>
      </c>
      <c r="E60" s="490" t="str">
        <f>IF('Equity Returns Options'!C21=0,"",ROUND('Equity Returns Options'!C21,4))</f>
        <v/>
      </c>
      <c r="F60" s="454"/>
      <c r="G60" s="454"/>
      <c r="H60" s="454"/>
      <c r="I60" s="454"/>
      <c r="J60" s="454"/>
      <c r="K60" s="454"/>
      <c r="L60" s="454"/>
      <c r="M60" s="454"/>
      <c r="N60" s="454"/>
      <c r="O60" s="454"/>
      <c r="P60" s="454"/>
      <c r="Q60" s="454"/>
      <c r="R60" s="454"/>
      <c r="S60" s="454"/>
      <c r="T60" s="454"/>
      <c r="U60" s="454"/>
      <c r="V60" s="454"/>
      <c r="W60" s="454"/>
      <c r="X60" s="454"/>
      <c r="Y60" s="454"/>
      <c r="Z60" s="454"/>
      <c r="AA60" s="454"/>
      <c r="AB60" s="454"/>
    </row>
    <row r="61" spans="1:28" ht="15">
      <c r="A61" s="454" t="s">
        <v>1106</v>
      </c>
      <c r="B61" s="454" t="s">
        <v>1019</v>
      </c>
      <c r="C61" s="454" t="s">
        <v>1107</v>
      </c>
      <c r="D61" s="489" t="s">
        <v>12</v>
      </c>
      <c r="E61" s="491" t="str">
        <f>IF('Equity Returns Options'!C22=0,"",'Equity Returns Options'!C22)</f>
        <v/>
      </c>
      <c r="F61" s="454"/>
      <c r="G61" s="454"/>
      <c r="H61" s="454"/>
      <c r="I61" s="454"/>
      <c r="J61" s="454"/>
      <c r="K61" s="454"/>
      <c r="L61" s="454"/>
      <c r="M61" s="454"/>
      <c r="N61" s="454"/>
      <c r="O61" s="454"/>
      <c r="P61" s="454"/>
      <c r="Q61" s="454"/>
      <c r="R61" s="454"/>
      <c r="S61" s="454"/>
      <c r="T61" s="454"/>
      <c r="U61" s="454"/>
      <c r="V61" s="454"/>
      <c r="W61" s="454"/>
      <c r="X61" s="454"/>
      <c r="Y61" s="454"/>
      <c r="Z61" s="454"/>
      <c r="AA61" s="454"/>
      <c r="AB61" s="454"/>
    </row>
    <row r="62" spans="1:28" ht="15">
      <c r="A62" s="454" t="s">
        <v>1106</v>
      </c>
      <c r="B62" s="454" t="s">
        <v>1019</v>
      </c>
      <c r="C62" s="454" t="s">
        <v>1107</v>
      </c>
      <c r="D62" s="492" t="s">
        <v>86</v>
      </c>
      <c r="E62" s="493" t="str">
        <f>IF('Equity Returns Options'!C23=0,"",'Equity Returns Options'!C23)</f>
        <v/>
      </c>
      <c r="F62" s="454"/>
      <c r="G62" s="454"/>
      <c r="H62" s="454"/>
      <c r="I62" s="454"/>
      <c r="J62" s="454"/>
      <c r="K62" s="454"/>
      <c r="L62" s="454"/>
      <c r="M62" s="454"/>
      <c r="N62" s="454"/>
      <c r="O62" s="454"/>
      <c r="P62" s="454"/>
      <c r="Q62" s="454"/>
      <c r="R62" s="454"/>
      <c r="S62" s="454"/>
      <c r="T62" s="454"/>
      <c r="U62" s="454"/>
      <c r="V62" s="454"/>
      <c r="W62" s="454"/>
      <c r="X62" s="454"/>
      <c r="Y62" s="454"/>
      <c r="Z62" s="454"/>
      <c r="AA62" s="454"/>
      <c r="AB62" s="454"/>
    </row>
    <row r="63" spans="1:28" ht="15">
      <c r="A63" s="454" t="s">
        <v>1108</v>
      </c>
      <c r="B63" s="454" t="s">
        <v>1109</v>
      </c>
      <c r="C63" s="454" t="s">
        <v>1110</v>
      </c>
      <c r="D63" s="494" t="s">
        <v>41</v>
      </c>
      <c r="E63" s="494" t="s">
        <v>42</v>
      </c>
      <c r="F63" s="494" t="s">
        <v>43</v>
      </c>
      <c r="G63" s="494" t="s">
        <v>1111</v>
      </c>
      <c r="H63" s="494" t="s">
        <v>56</v>
      </c>
      <c r="I63" s="494" t="s">
        <v>1112</v>
      </c>
      <c r="J63" s="494" t="s">
        <v>1113</v>
      </c>
      <c r="K63" s="494" t="s">
        <v>56</v>
      </c>
      <c r="L63" s="494" t="s">
        <v>1112</v>
      </c>
      <c r="M63" s="454"/>
      <c r="N63" s="454"/>
      <c r="O63" s="454"/>
      <c r="P63" s="454"/>
      <c r="Q63" s="454"/>
      <c r="R63" s="454"/>
      <c r="S63" s="454"/>
      <c r="T63" s="454"/>
      <c r="U63" s="454"/>
      <c r="V63" s="454"/>
      <c r="W63" s="454"/>
      <c r="X63" s="454"/>
      <c r="Y63" s="454"/>
      <c r="Z63" s="454"/>
      <c r="AA63" s="454"/>
      <c r="AB63" s="454"/>
    </row>
    <row r="64" spans="1:28" ht="15.75">
      <c r="A64" s="454" t="s">
        <v>1108</v>
      </c>
      <c r="B64" s="454" t="s">
        <v>1109</v>
      </c>
      <c r="C64" s="454" t="s">
        <v>1110</v>
      </c>
      <c r="D64" s="495">
        <f>IF('Pricing Detail'!$E$30=0,"",'Pricing Detail'!$E$30)</f>
        <v>2</v>
      </c>
      <c r="E64" s="495" t="str">
        <f>IF('Pricing Detail'!$F30="","",'Pricing Detail'!$F30)</f>
        <v>1 Bed / 1 Bath</v>
      </c>
      <c r="F64" s="495">
        <f>IF(OR('Pricing Detail'!$H$30="",'Pricing Detail'!$H$30=0),"",ROUND('Pricing Detail'!$H$30,0))</f>
        <v>650</v>
      </c>
      <c r="G64" s="496">
        <f>IF('Pricing Detail'!$I$30="","",ROUND('Pricing Detail'!$I$30,0))</f>
        <v>1923</v>
      </c>
      <c r="H64" s="497">
        <f>IFERROR(G64/$F64,"")</f>
        <v>2.9584615384615383</v>
      </c>
      <c r="I64" s="496">
        <f>IFERROR(G64*D64,"")</f>
        <v>3846</v>
      </c>
      <c r="J64" s="496">
        <f>IF('Pricing Detail'!$J30="","",ROUND('Pricing Detail'!$J30,0))</f>
        <v>2295</v>
      </c>
      <c r="K64" s="497">
        <f>IFERROR(J64/$F64,"")</f>
        <v>3.5307692307692307</v>
      </c>
      <c r="L64" s="496">
        <f>IFERROR(J64*D64,"")</f>
        <v>4590</v>
      </c>
      <c r="M64" s="454"/>
      <c r="N64" s="454"/>
      <c r="O64" s="454"/>
      <c r="P64" s="454"/>
      <c r="Q64" s="454"/>
      <c r="R64" s="454"/>
      <c r="S64" s="454"/>
      <c r="T64" s="454"/>
      <c r="U64" s="454"/>
      <c r="V64" s="454"/>
      <c r="W64" s="454"/>
      <c r="X64" s="454"/>
      <c r="Y64" s="454"/>
      <c r="Z64" s="454"/>
      <c r="AA64" s="454"/>
      <c r="AB64" s="454"/>
    </row>
    <row r="65" spans="1:28" ht="15.75">
      <c r="A65" s="454" t="s">
        <v>1108</v>
      </c>
      <c r="B65" s="454" t="s">
        <v>1109</v>
      </c>
      <c r="C65" s="454" t="s">
        <v>1110</v>
      </c>
      <c r="D65" s="495">
        <f>IF('Pricing Detail'!$E$31=0,"",'Pricing Detail'!$E$31)</f>
        <v>24</v>
      </c>
      <c r="E65" s="495" t="str">
        <f>IF('Pricing Detail'!$F31="","",'Pricing Detail'!$F31)</f>
        <v>2 Bed / 1 Bath</v>
      </c>
      <c r="F65" s="495">
        <f>IF(OR('Pricing Detail'!$H$31="",'Pricing Detail'!$H$31=0),"",ROUND('Pricing Detail'!$H$31,0))</f>
        <v>750</v>
      </c>
      <c r="G65" s="496">
        <f>IF('Pricing Detail'!$I$31="","",ROUND('Pricing Detail'!$I$31,0))</f>
        <v>2204</v>
      </c>
      <c r="H65" s="497">
        <f>IFERROR(G65/$F65,"")</f>
        <v>2.9386666666666668</v>
      </c>
      <c r="I65" s="496">
        <f>IFERROR(G65*D65,"")</f>
        <v>52896</v>
      </c>
      <c r="J65" s="496">
        <f>IF('Pricing Detail'!$J31="","",ROUND('Pricing Detail'!$J31,0))</f>
        <v>2650</v>
      </c>
      <c r="K65" s="497">
        <f>IFERROR(J65/$F65,"")</f>
        <v>3.5333333333333332</v>
      </c>
      <c r="L65" s="496">
        <f>IFERROR(J65*D65,"")</f>
        <v>63600</v>
      </c>
      <c r="M65" s="454"/>
      <c r="N65" s="454"/>
      <c r="O65" s="454"/>
      <c r="P65" s="454"/>
      <c r="Q65" s="454"/>
      <c r="R65" s="454"/>
      <c r="S65" s="454"/>
      <c r="T65" s="454"/>
      <c r="U65" s="454"/>
      <c r="V65" s="454"/>
      <c r="W65" s="454"/>
      <c r="X65" s="454"/>
      <c r="Y65" s="454"/>
      <c r="Z65" s="454"/>
      <c r="AA65" s="454"/>
      <c r="AB65" s="454"/>
    </row>
    <row r="66" spans="1:28" ht="15.75">
      <c r="A66" s="454" t="s">
        <v>1108</v>
      </c>
      <c r="B66" s="454" t="s">
        <v>1109</v>
      </c>
      <c r="C66" s="454" t="s">
        <v>1110</v>
      </c>
      <c r="D66" s="495">
        <f>IF('Pricing Detail'!$E$32=0,"",'Pricing Detail'!$E$32)</f>
        <v>1</v>
      </c>
      <c r="E66" s="495" t="str">
        <f>IF('Pricing Detail'!$F32="","",'Pricing Detail'!$F32)</f>
        <v>4 Bed / 3 Bath House</v>
      </c>
      <c r="F66" s="495">
        <f>IF(OR('Pricing Detail'!$H$32="",'Pricing Detail'!$H$32=0),"",ROUND('Pricing Detail'!$H$32,0))</f>
        <v>2500</v>
      </c>
      <c r="G66" s="496">
        <f>IF('Pricing Detail'!$I$32="","",ROUND('Pricing Detail'!$I$32,0))</f>
        <v>5000</v>
      </c>
      <c r="H66" s="497">
        <f>IFERROR(G66/$F66,"")</f>
        <v>2</v>
      </c>
      <c r="I66" s="496">
        <f>IFERROR(G66*D66,"")</f>
        <v>5000</v>
      </c>
      <c r="J66" s="496">
        <f>IF('Pricing Detail'!$J32="","",ROUND('Pricing Detail'!$J32,0))</f>
        <v>5000</v>
      </c>
      <c r="K66" s="497">
        <f>IFERROR(J66/$F66,"")</f>
        <v>2</v>
      </c>
      <c r="L66" s="496">
        <f>IFERROR(J66*D66,"")</f>
        <v>5000</v>
      </c>
      <c r="M66" s="454"/>
      <c r="N66" s="454"/>
      <c r="O66" s="454"/>
      <c r="P66" s="454"/>
      <c r="Q66" s="454"/>
      <c r="R66" s="454"/>
      <c r="S66" s="454"/>
      <c r="T66" s="454"/>
      <c r="U66" s="454"/>
      <c r="V66" s="454"/>
      <c r="W66" s="454"/>
      <c r="X66" s="454"/>
      <c r="Y66" s="454"/>
      <c r="Z66" s="454"/>
      <c r="AA66" s="454"/>
      <c r="AB66" s="454"/>
    </row>
    <row r="67" spans="1:28" ht="15.75">
      <c r="A67" s="454" t="s">
        <v>1108</v>
      </c>
      <c r="B67" s="454" t="s">
        <v>1109</v>
      </c>
      <c r="C67" s="454" t="s">
        <v>1110</v>
      </c>
      <c r="D67" s="495" t="str">
        <f>IF('Pricing Detail'!$E$33=0,"",'Pricing Detail'!$E$33)</f>
        <v/>
      </c>
      <c r="E67" s="495" t="str">
        <f>IF('Pricing Detail'!$F33="","",'Pricing Detail'!$F33)</f>
        <v/>
      </c>
      <c r="F67" s="495" t="str">
        <f>IF(OR('Pricing Detail'!$H$33="",'Pricing Detail'!$H$33=0),"",ROUND('Pricing Detail'!$H$33,0))</f>
        <v/>
      </c>
      <c r="G67" s="496" t="str">
        <f>IF('Pricing Detail'!$I$33="","",ROUND('Pricing Detail'!$I$33,0))</f>
        <v/>
      </c>
      <c r="H67" s="497" t="str">
        <f>IFERROR(G67/$F67,"")</f>
        <v/>
      </c>
      <c r="I67" s="496" t="str">
        <f>IFERROR(G67*D67,"")</f>
        <v/>
      </c>
      <c r="J67" s="496" t="str">
        <f>IF('Pricing Detail'!$J33="","",ROUND('Pricing Detail'!$J33,0))</f>
        <v/>
      </c>
      <c r="K67" s="497" t="str">
        <f>IFERROR(J67/$F67,"")</f>
        <v/>
      </c>
      <c r="L67" s="496" t="str">
        <f>IFERROR(J67*D67,"")</f>
        <v/>
      </c>
      <c r="M67" s="454"/>
      <c r="N67" s="454"/>
      <c r="O67" s="454"/>
      <c r="P67" s="454"/>
      <c r="Q67" s="454"/>
      <c r="R67" s="454"/>
      <c r="S67" s="454"/>
      <c r="T67" s="454"/>
      <c r="U67" s="454"/>
      <c r="V67" s="454"/>
      <c r="W67" s="454"/>
      <c r="X67" s="454"/>
      <c r="Y67" s="454"/>
      <c r="Z67" s="454"/>
      <c r="AA67" s="454"/>
      <c r="AB67" s="454"/>
    </row>
    <row r="68" spans="1:28" ht="15.75">
      <c r="A68" s="454" t="s">
        <v>1108</v>
      </c>
      <c r="B68" s="454" t="s">
        <v>1109</v>
      </c>
      <c r="C68" s="454" t="s">
        <v>1110</v>
      </c>
      <c r="D68" s="581" t="str">
        <f>IF('Pricing Detail'!$E$34=0,"",'Pricing Detail'!$E$34)</f>
        <v/>
      </c>
      <c r="E68" s="582" t="str">
        <f>IF('Pricing Detail'!$F34="","",'Pricing Detail'!$F34)</f>
        <v/>
      </c>
      <c r="F68" s="582" t="str">
        <f>IF(OR('Pricing Detail'!$H$34="",'Pricing Detail'!$H$34=0),"",ROUND('Pricing Detail'!$H$34,0))</f>
        <v/>
      </c>
      <c r="G68" s="583" t="str">
        <f>IF('Pricing Detail'!$I$34="","",ROUND('Pricing Detail'!$I$34,0))</f>
        <v/>
      </c>
      <c r="H68" s="584" t="str">
        <f>IFERROR(G68/$F68,"")</f>
        <v/>
      </c>
      <c r="I68" s="583" t="str">
        <f>IFERROR(G68*D68,"")</f>
        <v/>
      </c>
      <c r="J68" s="583" t="str">
        <f>IF('Pricing Detail'!$J34="","",ROUND('Pricing Detail'!$J34,0))</f>
        <v/>
      </c>
      <c r="K68" s="584" t="str">
        <f>IFERROR(J68/$F68,"")</f>
        <v/>
      </c>
      <c r="L68" s="585" t="str">
        <f>IFERROR(J68*D68,"")</f>
        <v/>
      </c>
      <c r="M68" s="454"/>
      <c r="N68" s="454"/>
      <c r="O68" s="454"/>
      <c r="P68" s="454"/>
      <c r="Q68" s="454"/>
      <c r="R68" s="454"/>
      <c r="S68" s="454"/>
      <c r="T68" s="454"/>
      <c r="U68" s="454"/>
      <c r="V68" s="454"/>
      <c r="W68" s="454"/>
      <c r="X68" s="454"/>
      <c r="Y68" s="454"/>
      <c r="Z68" s="454"/>
      <c r="AA68" s="454"/>
      <c r="AB68" s="454"/>
    </row>
    <row r="69" spans="1:28" ht="15.75">
      <c r="A69" s="454" t="s">
        <v>1108</v>
      </c>
      <c r="B69" s="454" t="s">
        <v>1109</v>
      </c>
      <c r="C69" s="454" t="s">
        <v>1110</v>
      </c>
      <c r="D69" s="498" t="s">
        <v>48</v>
      </c>
      <c r="E69" s="517"/>
      <c r="F69" s="517"/>
      <c r="G69" s="517"/>
      <c r="H69" s="517"/>
      <c r="I69" s="499">
        <f>IFERROR(SUM(I64:I67),"")</f>
        <v>61742</v>
      </c>
      <c r="J69" s="517"/>
      <c r="K69" s="517"/>
      <c r="L69" s="500">
        <f>IFERROR(SUM(L64:L67),"")</f>
        <v>73190</v>
      </c>
      <c r="M69" s="454"/>
      <c r="N69" s="454"/>
      <c r="O69" s="454"/>
      <c r="P69" s="454"/>
      <c r="Q69" s="454"/>
      <c r="R69" s="454"/>
      <c r="S69" s="454"/>
      <c r="T69" s="454"/>
      <c r="U69" s="454"/>
      <c r="V69" s="454"/>
      <c r="W69" s="454"/>
      <c r="X69" s="454"/>
      <c r="Y69" s="454"/>
      <c r="Z69" s="454"/>
      <c r="AA69" s="454"/>
      <c r="AB69" s="454"/>
    </row>
    <row r="70" spans="1:28" ht="15">
      <c r="A70" s="461" t="s">
        <v>1114</v>
      </c>
      <c r="B70" s="454" t="s">
        <v>1109</v>
      </c>
      <c r="C70" s="482" t="s">
        <v>1115</v>
      </c>
      <c r="D70" s="494" t="s">
        <v>46</v>
      </c>
      <c r="E70" s="502" t="s">
        <v>78</v>
      </c>
      <c r="F70" s="502"/>
      <c r="G70" s="502" t="s">
        <v>729</v>
      </c>
      <c r="H70" s="502"/>
      <c r="X70" s="454"/>
    </row>
    <row r="71" spans="1:28" ht="15.75">
      <c r="A71" s="461" t="s">
        <v>1114</v>
      </c>
      <c r="B71" s="454" t="s">
        <v>1109</v>
      </c>
      <c r="C71" s="482" t="s">
        <v>1115</v>
      </c>
      <c r="D71" s="501" t="str">
        <f>'Operating Statement'!E6</f>
        <v>Gross Potential Rent</v>
      </c>
      <c r="E71" s="503">
        <f>IFERROR(IF('Operating Statement'!O6=0,"",ROUND('Operating Statement'!O6,0)),"")</f>
        <v>878280</v>
      </c>
      <c r="F71" s="504"/>
      <c r="G71" s="503">
        <f>IFERROR(IF('Operating Statement'!Q6=0,"",ROUND('Operating Statement'!Q6,0)),"")</f>
        <v>878280</v>
      </c>
      <c r="H71" s="504"/>
      <c r="S71" s="454"/>
      <c r="T71" s="454"/>
      <c r="U71" s="454"/>
      <c r="V71" s="454"/>
      <c r="W71" s="454"/>
      <c r="X71" s="454"/>
    </row>
    <row r="72" spans="1:28" ht="15.75">
      <c r="A72" s="461" t="s">
        <v>1114</v>
      </c>
      <c r="B72" s="454" t="s">
        <v>1109</v>
      </c>
      <c r="C72" s="482" t="s">
        <v>1115</v>
      </c>
      <c r="D72" s="501" t="str">
        <f>'Operating Statement'!E7</f>
        <v>Loss / Gain to Lease</v>
      </c>
      <c r="E72" s="503" t="str">
        <f>IFERROR(IF(SwitchLossToLease="No","",IF('Operating Statement'!O7=0,"",ROUND('Operating Statement'!O7,4))),"")</f>
        <v/>
      </c>
      <c r="F72" s="504" t="str">
        <f>IFERROR(IF(SwitchLossToLease="No","",ROUND('Operating Statement'!P7,4)),"")</f>
        <v/>
      </c>
      <c r="G72" s="503" t="str">
        <f>IFERROR(IF(SwitchLossToLease="No","",IF('Operating Statement'!Q7=0,"",ROUND('Operating Statement'!Q7,4))),"")</f>
        <v/>
      </c>
      <c r="H72" s="504" t="str">
        <f>IFERROR(IF(SwitchLossToLease="No","",ROUND('Operating Statement'!R7,4)),"")</f>
        <v/>
      </c>
      <c r="S72" s="454"/>
      <c r="T72" s="454"/>
      <c r="U72" s="454"/>
      <c r="V72" s="454"/>
      <c r="W72" s="454"/>
      <c r="X72" s="454"/>
    </row>
    <row r="73" spans="1:28" ht="15.75">
      <c r="A73" s="461" t="s">
        <v>1114</v>
      </c>
      <c r="B73" s="454" t="s">
        <v>1109</v>
      </c>
      <c r="C73" s="482" t="s">
        <v>1115</v>
      </c>
      <c r="D73" s="505" t="str">
        <f>'Operating Statement'!E8</f>
        <v>Gross Scheduled Rent</v>
      </c>
      <c r="E73" s="506">
        <f>IFERROR(IF('Operating Statement'!O8=0,"",ROUND('Operating Statement'!O8,0)),"")</f>
        <v>740748</v>
      </c>
      <c r="F73" s="507"/>
      <c r="G73" s="506">
        <f>IFERROR(IF('Operating Statement'!Q8=0,"",ROUND('Operating Statement'!Q8,0)),"")</f>
        <v>878280</v>
      </c>
      <c r="H73" s="507"/>
      <c r="S73" s="454"/>
      <c r="T73" s="454"/>
      <c r="U73" s="454"/>
      <c r="V73" s="454"/>
      <c r="W73" s="454"/>
      <c r="X73" s="454"/>
    </row>
    <row r="74" spans="1:28" ht="15.75">
      <c r="A74" s="461" t="s">
        <v>1114</v>
      </c>
      <c r="B74" s="454" t="s">
        <v>1109</v>
      </c>
      <c r="C74" s="482" t="s">
        <v>1115</v>
      </c>
      <c r="D74" s="505" t="str">
        <f>'Operating Statement'!E14</f>
        <v>TOTAL VACANCY</v>
      </c>
      <c r="E74" s="506">
        <f>IFERROR(IF('Operating Statement'!O14=0,"",ROUND('Operating Statement'!O14,0)),"")</f>
        <v>-37037</v>
      </c>
      <c r="F74" s="507">
        <f>IFERROR(ROUND('Operating Statement'!P14,4),"")</f>
        <v>0.05</v>
      </c>
      <c r="G74" s="506">
        <f>IFERROR(IF('Operating Statement'!Q14=0,"",ROUND('Operating Statement'!Q14,0)),"")</f>
        <v>-43914</v>
      </c>
      <c r="H74" s="507">
        <f>IFERROR(ROUND('Operating Statement'!R14,4),"")</f>
        <v>0.05</v>
      </c>
      <c r="S74" s="454"/>
      <c r="T74" s="454"/>
      <c r="U74" s="454"/>
      <c r="V74" s="454"/>
      <c r="W74" s="454"/>
      <c r="X74" s="454"/>
    </row>
    <row r="75" spans="1:28" ht="15.75">
      <c r="A75" s="461" t="s">
        <v>1114</v>
      </c>
      <c r="B75" s="454" t="s">
        <v>1109</v>
      </c>
      <c r="C75" s="482" t="s">
        <v>1115</v>
      </c>
      <c r="D75" s="505" t="str">
        <f>'Operating Statement'!E16</f>
        <v>Effective Rental Income</v>
      </c>
      <c r="E75" s="506">
        <f>IFERROR(IF('Operating Statement'!O16=0,"",ROUND('Operating Statement'!O16,0)),"")</f>
        <v>703711</v>
      </c>
      <c r="F75" s="507"/>
      <c r="G75" s="506">
        <f>IFERROR(IF('Operating Statement'!Q16=0,"",ROUND('Operating Statement'!Q16,0)),"")</f>
        <v>834366</v>
      </c>
      <c r="H75" s="507"/>
      <c r="S75" s="454"/>
      <c r="T75" s="454"/>
      <c r="U75" s="454"/>
      <c r="V75" s="454"/>
      <c r="W75" s="454"/>
      <c r="X75" s="454"/>
    </row>
    <row r="76" spans="1:28" ht="15.75">
      <c r="A76" s="461" t="s">
        <v>1114</v>
      </c>
      <c r="B76" s="454" t="s">
        <v>1109</v>
      </c>
      <c r="C76" s="482" t="s">
        <v>1115</v>
      </c>
      <c r="D76" s="505" t="str">
        <f>'Operating Statement'!E20</f>
        <v>TOTAL OTHER INCOME</v>
      </c>
      <c r="E76" s="506">
        <f>IFERROR(IF('Operating Statement'!O20=0,"",ROUND('Operating Statement'!O20,0)),"")</f>
        <v>5820</v>
      </c>
      <c r="F76" s="507"/>
      <c r="G76" s="506">
        <f>IFERROR(IF('Operating Statement'!Q20=0,"",ROUND('Operating Statement'!Q20,0)),"")</f>
        <v>5820</v>
      </c>
      <c r="H76" s="507"/>
      <c r="S76" s="454"/>
      <c r="T76" s="454"/>
      <c r="U76" s="454"/>
      <c r="V76" s="454"/>
      <c r="W76" s="454"/>
      <c r="X76" s="454"/>
    </row>
    <row r="77" spans="1:28" ht="15.75">
      <c r="A77" s="461" t="s">
        <v>1114</v>
      </c>
      <c r="B77" s="454" t="s">
        <v>1109</v>
      </c>
      <c r="C77" s="482" t="s">
        <v>1115</v>
      </c>
      <c r="D77" s="505" t="str">
        <f>'Operating Statement'!E21</f>
        <v>EFFECTIVE GROSS INCOME</v>
      </c>
      <c r="E77" s="506">
        <f>IFERROR(IF('Operating Statement'!O21=0,"",ROUND('Operating Statement'!O21,0)),"")</f>
        <v>709531</v>
      </c>
      <c r="F77" s="507"/>
      <c r="G77" s="506">
        <f>IFERROR(IF('Operating Statement'!Q21=0,"",ROUND('Operating Statement'!Q21,0)),"")</f>
        <v>840186</v>
      </c>
      <c r="H77" s="507"/>
      <c r="S77" s="454"/>
      <c r="T77" s="454"/>
      <c r="U77" s="454"/>
      <c r="V77" s="454"/>
      <c r="W77" s="454"/>
      <c r="X77" s="454"/>
    </row>
    <row r="78" spans="1:28" ht="15.75">
      <c r="A78" s="461" t="s">
        <v>1114</v>
      </c>
      <c r="B78" s="454" t="s">
        <v>1109</v>
      </c>
      <c r="C78" s="482" t="s">
        <v>1115</v>
      </c>
      <c r="D78" s="523" t="s">
        <v>1116</v>
      </c>
      <c r="E78" s="506">
        <f>IFERROR(IF('Operating Statement'!O39=0,"",-ROUND('Operating Statement'!O39,0)),"")</f>
        <v>-263695</v>
      </c>
      <c r="F78" s="507">
        <f>IFERROR(ROUND('Operating Statement'!O40,4),"")</f>
        <v>0.37159999999999999</v>
      </c>
      <c r="G78" s="506">
        <f>IFERROR(IF('Operating Statement'!Q39=0,"",-ROUND('Operating Statement'!Q39,0)),"")</f>
        <v>-268921</v>
      </c>
      <c r="H78" s="507">
        <f>IFERROR(ROUND('Operating Statement'!Q40,4),"")</f>
        <v>0.3201</v>
      </c>
      <c r="S78" s="454"/>
      <c r="T78" s="454"/>
      <c r="U78" s="454"/>
      <c r="V78" s="454"/>
      <c r="W78" s="454"/>
      <c r="X78" s="454"/>
    </row>
    <row r="79" spans="1:28" ht="15.75">
      <c r="A79" s="461" t="s">
        <v>1114</v>
      </c>
      <c r="B79" s="454" t="s">
        <v>1109</v>
      </c>
      <c r="C79" s="482" t="s">
        <v>1115</v>
      </c>
      <c r="D79" s="523" t="str">
        <f>'Operating Statement'!E41</f>
        <v>NET OPERATING INCOME</v>
      </c>
      <c r="E79" s="506">
        <f>IFERROR(IF('Operating Statement'!O41=0,"",ROUND('Operating Statement'!O41,0)),"")</f>
        <v>445836</v>
      </c>
      <c r="F79" s="525"/>
      <c r="G79" s="506">
        <f>IFERROR(IF('Operating Statement'!Q41=0,"",ROUND('Operating Statement'!Q41,0)),"")</f>
        <v>571265</v>
      </c>
      <c r="H79" s="525"/>
      <c r="S79" s="454"/>
      <c r="T79" s="454"/>
      <c r="U79" s="454"/>
      <c r="V79" s="454"/>
      <c r="W79" s="454"/>
      <c r="X79" s="454"/>
    </row>
    <row r="80" spans="1:28" ht="15.75">
      <c r="A80" s="461" t="s">
        <v>1114</v>
      </c>
      <c r="B80" s="454" t="s">
        <v>1109</v>
      </c>
      <c r="C80" s="482" t="s">
        <v>1115</v>
      </c>
      <c r="D80" s="523" t="str">
        <f>'Pricing Detail'!L14</f>
        <v>Cash Flow</v>
      </c>
      <c r="E80" s="524">
        <f>IF('Pricing Detail'!N14=0,"",'Pricing Detail'!N14)</f>
        <v>445836.05599999998</v>
      </c>
      <c r="F80" s="525"/>
      <c r="G80" s="506">
        <f>IF('Pricing Detail'!P14=0,"",'Pricing Detail'!P14)</f>
        <v>571265.24</v>
      </c>
      <c r="H80" s="525"/>
      <c r="S80" s="454"/>
      <c r="T80" s="454"/>
      <c r="U80" s="454"/>
      <c r="V80" s="454"/>
      <c r="W80" s="454"/>
      <c r="X80" s="454"/>
    </row>
    <row r="81" spans="1:24" ht="15.75">
      <c r="A81" s="461" t="s">
        <v>1114</v>
      </c>
      <c r="B81" s="454" t="s">
        <v>1109</v>
      </c>
      <c r="C81" s="482" t="s">
        <v>1115</v>
      </c>
      <c r="D81" s="523" t="str">
        <f>'Pricing Detail'!L15</f>
        <v xml:space="preserve">Debt Service </v>
      </c>
      <c r="E81" s="524">
        <f>IF('Pricing Detail'!N15=0,"",'Pricing Detail'!N15)</f>
        <v>360122.80971131654</v>
      </c>
      <c r="F81" s="525"/>
      <c r="G81" s="506">
        <f>IF('Pricing Detail'!P15=0,"",'Pricing Detail'!P15)</f>
        <v>360122.80971131654</v>
      </c>
      <c r="H81" s="525"/>
      <c r="S81" s="454"/>
      <c r="T81" s="454"/>
      <c r="U81" s="454"/>
      <c r="V81" s="454"/>
      <c r="W81" s="454"/>
      <c r="X81" s="454"/>
    </row>
    <row r="82" spans="1:24" ht="15.75">
      <c r="A82" s="461" t="s">
        <v>1114</v>
      </c>
      <c r="B82" s="454" t="s">
        <v>1109</v>
      </c>
      <c r="C82" s="482" t="s">
        <v>1115</v>
      </c>
      <c r="D82" s="523" t="s">
        <v>33</v>
      </c>
      <c r="E82" s="526">
        <f>IFERROR(IF('Pricing Detail'!G18=0,"",ROUND('Pricing Detail'!G18,2)),0)</f>
        <v>1.24</v>
      </c>
      <c r="F82" s="525"/>
      <c r="G82" s="526">
        <f>IFERROR(IF('Pricing Detail'!H18=0,"",ROUND('Pricing Detail'!H18,2)),0)</f>
        <v>1.59</v>
      </c>
      <c r="H82" s="525"/>
      <c r="S82" s="454"/>
      <c r="T82" s="454"/>
      <c r="U82" s="454"/>
      <c r="V82" s="454"/>
      <c r="W82" s="454"/>
      <c r="X82" s="454"/>
    </row>
    <row r="83" spans="1:24" ht="15.75">
      <c r="A83" s="461" t="s">
        <v>1114</v>
      </c>
      <c r="B83" s="454" t="s">
        <v>1109</v>
      </c>
      <c r="C83" s="482" t="s">
        <v>1115</v>
      </c>
      <c r="D83" s="523" t="str">
        <f>'Pricing Detail'!L16</f>
        <v xml:space="preserve">Net Cash Flow After Debt Service </v>
      </c>
      <c r="E83" s="524">
        <f>IF('Pricing Detail'!N16=0,"",'Pricing Detail'!N16)</f>
        <v>85713.24628868344</v>
      </c>
      <c r="F83" s="525">
        <f>IF('Pricing Detail'!M16=0,"",'Pricing Detail'!M16)</f>
        <v>2.0371538036526068E-2</v>
      </c>
      <c r="G83" s="527">
        <f>IF('Pricing Detail'!P16=0,"",'Pricing Detail'!P16)</f>
        <v>211142.43028868345</v>
      </c>
      <c r="H83" s="525">
        <f>IF('Pricing Detail'!O16=0,"",'Pricing Detail'!O16)</f>
        <v>5.0182395790536766E-2</v>
      </c>
      <c r="S83" s="454"/>
      <c r="T83" s="454"/>
      <c r="U83" s="454"/>
      <c r="V83" s="454"/>
      <c r="W83" s="454"/>
      <c r="X83" s="454"/>
    </row>
    <row r="84" spans="1:24" ht="15.75">
      <c r="A84" s="461" t="s">
        <v>1114</v>
      </c>
      <c r="B84" s="454" t="s">
        <v>1109</v>
      </c>
      <c r="C84" s="482" t="s">
        <v>1115</v>
      </c>
      <c r="D84" s="523" t="str">
        <f>'Pricing Detail'!L17</f>
        <v xml:space="preserve">Principal Reduction </v>
      </c>
      <c r="E84" s="524">
        <f>IF('Pricing Detail'!N17=0,"",'Pricing Detail'!N17)</f>
        <v>66154.448956313965</v>
      </c>
      <c r="F84" s="525"/>
      <c r="G84" s="527">
        <f>IF('Pricing Detail'!P17=0,"",'Pricing Detail'!P17)</f>
        <v>70060.196461221756</v>
      </c>
      <c r="H84" s="525"/>
      <c r="S84" s="454"/>
      <c r="T84" s="454"/>
      <c r="U84" s="454"/>
      <c r="V84" s="454"/>
      <c r="W84" s="454"/>
      <c r="X84" s="454"/>
    </row>
    <row r="85" spans="1:24" ht="15.75">
      <c r="A85" s="461" t="s">
        <v>1114</v>
      </c>
      <c r="B85" s="454" t="s">
        <v>1109</v>
      </c>
      <c r="C85" s="482" t="s">
        <v>1115</v>
      </c>
      <c r="D85" s="523" t="str">
        <f>'Pricing Detail'!L18</f>
        <v>TOTAL RETURN</v>
      </c>
      <c r="E85" s="524">
        <f>IF('Pricing Detail'!N18=0,"",'Pricing Detail'!N18)</f>
        <v>151867.69524499739</v>
      </c>
      <c r="F85" s="525">
        <f>IF('Pricing Detail'!M18=0,"",'Pricing Detail'!M18)</f>
        <v>3.6094520557337466E-2</v>
      </c>
      <c r="G85" s="527">
        <f>IF('Pricing Detail'!P18=0,"",'Pricing Detail'!P18)</f>
        <v>281202.62674990518</v>
      </c>
      <c r="H85" s="525">
        <f>IF('Pricing Detail'!O18=0,"",'Pricing Detail'!O18)</f>
        <v>6.6833660546620363E-2</v>
      </c>
      <c r="S85" s="454"/>
      <c r="T85" s="454"/>
      <c r="U85" s="454"/>
      <c r="V85" s="454"/>
      <c r="W85" s="454"/>
      <c r="X85" s="454"/>
    </row>
    <row r="86" spans="1:24" ht="15">
      <c r="A86" s="461" t="s">
        <v>1117</v>
      </c>
      <c r="B86" s="454" t="s">
        <v>1109</v>
      </c>
      <c r="C86" s="482" t="s">
        <v>1118</v>
      </c>
      <c r="D86" s="502" t="str">
        <f>'Operating Statement'!E23</f>
        <v>EXPENSES</v>
      </c>
      <c r="E86" s="502" t="s">
        <v>78</v>
      </c>
      <c r="F86" s="502" t="s">
        <v>729</v>
      </c>
      <c r="G86" s="502" t="s">
        <v>1119</v>
      </c>
      <c r="H86" s="502" t="s">
        <v>1120</v>
      </c>
      <c r="S86" s="454"/>
      <c r="T86" s="454"/>
      <c r="U86" s="454"/>
      <c r="V86" s="454"/>
      <c r="W86" s="454"/>
      <c r="X86" s="454"/>
    </row>
    <row r="87" spans="1:24" ht="15.75">
      <c r="A87" s="461" t="s">
        <v>1117</v>
      </c>
      <c r="B87" s="454" t="s">
        <v>1109</v>
      </c>
      <c r="C87" s="482" t="s">
        <v>1118</v>
      </c>
      <c r="D87" s="501" t="str">
        <f>'Operating Statement'!E24</f>
        <v>Real Estate Taxes</v>
      </c>
      <c r="E87" s="503">
        <f>IFERROR(IF('Operating Statement'!O24=0,"",ROUND('Operating Statement'!O24,0)),"")</f>
        <v>105655</v>
      </c>
      <c r="F87" s="503">
        <f>IFERROR(IF('Operating Statement'!Q24=0,"",ROUND('Operating Statement'!Q24,0)),"")</f>
        <v>105655</v>
      </c>
      <c r="G87" s="504"/>
      <c r="H87" s="504"/>
      <c r="S87" s="454"/>
      <c r="T87" s="454"/>
      <c r="U87" s="454"/>
      <c r="V87" s="454"/>
      <c r="W87" s="454"/>
      <c r="X87" s="454"/>
    </row>
    <row r="88" spans="1:24" ht="15.75">
      <c r="A88" s="461" t="s">
        <v>1117</v>
      </c>
      <c r="B88" s="454" t="s">
        <v>1109</v>
      </c>
      <c r="C88" s="482" t="s">
        <v>1118</v>
      </c>
      <c r="D88" s="501" t="str">
        <f>'Operating Statement'!E25</f>
        <v>Insurance</v>
      </c>
      <c r="E88" s="503">
        <f>IFERROR(IF('Operating Statement'!O25=0,"",ROUND('Operating Statement'!O25,0)),"")</f>
        <v>28074</v>
      </c>
      <c r="F88" s="503">
        <f>IFERROR(IF('Operating Statement'!Q25=0,"",ROUND('Operating Statement'!Q25,0)),"")</f>
        <v>28074</v>
      </c>
      <c r="G88" s="504"/>
      <c r="H88" s="504"/>
      <c r="S88" s="454"/>
      <c r="T88" s="454"/>
      <c r="U88" s="454"/>
      <c r="V88" s="454"/>
      <c r="W88" s="454"/>
      <c r="X88" s="454"/>
    </row>
    <row r="89" spans="1:24" ht="15.75">
      <c r="A89" s="461" t="s">
        <v>1117</v>
      </c>
      <c r="B89" s="454" t="s">
        <v>1109</v>
      </c>
      <c r="C89" s="482" t="s">
        <v>1118</v>
      </c>
      <c r="D89" s="501" t="str">
        <f>'Operating Statement'!E26</f>
        <v>Utilities - Electric</v>
      </c>
      <c r="E89" s="503" t="str">
        <f>IFERROR(IF('Operating Statement'!O26=0,"",ROUND('Operating Statement'!O26,0)),"")</f>
        <v/>
      </c>
      <c r="F89" s="503" t="str">
        <f>IFERROR(IF('Operating Statement'!Q26=0,"",ROUND('Operating Statement'!Q26,0)),"")</f>
        <v/>
      </c>
      <c r="G89" s="504"/>
      <c r="H89" s="504"/>
      <c r="S89" s="454"/>
      <c r="T89" s="454"/>
      <c r="U89" s="454"/>
      <c r="V89" s="454"/>
      <c r="W89" s="454"/>
      <c r="X89" s="454"/>
    </row>
    <row r="90" spans="1:24" ht="15.75">
      <c r="A90" s="461" t="s">
        <v>1117</v>
      </c>
      <c r="B90" s="454" t="s">
        <v>1109</v>
      </c>
      <c r="C90" s="482" t="s">
        <v>1118</v>
      </c>
      <c r="D90" s="501" t="str">
        <f>'Operating Statement'!E27</f>
        <v>Utilities - Water &amp; Power</v>
      </c>
      <c r="E90" s="503">
        <f>IFERROR(IF('Operating Statement'!O27=0,"",ROUND('Operating Statement'!O27,0)),"")</f>
        <v>24945</v>
      </c>
      <c r="F90" s="503">
        <f>IFERROR(IF('Operating Statement'!Q27=0,"",ROUND('Operating Statement'!Q27,0)),"")</f>
        <v>24945</v>
      </c>
      <c r="G90" s="504"/>
      <c r="H90" s="504"/>
      <c r="S90" s="454"/>
      <c r="T90" s="454"/>
      <c r="U90" s="454"/>
      <c r="V90" s="454"/>
      <c r="W90" s="454"/>
      <c r="X90" s="454"/>
    </row>
    <row r="91" spans="1:24" ht="15.75">
      <c r="A91" s="461" t="s">
        <v>1117</v>
      </c>
      <c r="B91" s="454" t="s">
        <v>1109</v>
      </c>
      <c r="C91" s="482" t="s">
        <v>1118</v>
      </c>
      <c r="D91" s="501" t="str">
        <f>'Operating Statement'!E28</f>
        <v>Utilities - Gas</v>
      </c>
      <c r="E91" s="503">
        <f>IFERROR(IF('Operating Statement'!O28=0,"",ROUND('Operating Statement'!O28,0)),"")</f>
        <v>2979</v>
      </c>
      <c r="F91" s="503">
        <f>IFERROR(IF('Operating Statement'!Q28=0,"",ROUND('Operating Statement'!Q28,0)),"")</f>
        <v>2979</v>
      </c>
      <c r="G91" s="508"/>
      <c r="H91" s="508"/>
      <c r="S91" s="454"/>
      <c r="T91" s="454"/>
      <c r="U91" s="454"/>
      <c r="V91" s="454"/>
      <c r="W91" s="454"/>
      <c r="X91" s="454"/>
    </row>
    <row r="92" spans="1:24" ht="15.75">
      <c r="A92" s="461" t="s">
        <v>1117</v>
      </c>
      <c r="B92" s="454" t="s">
        <v>1109</v>
      </c>
      <c r="C92" s="482" t="s">
        <v>1118</v>
      </c>
      <c r="D92" s="501" t="str">
        <f>'Operating Statement'!E29</f>
        <v>Trash Removal</v>
      </c>
      <c r="E92" s="503">
        <f>IFERROR(IF('Operating Statement'!O29=0,"",ROUND('Operating Statement'!O29,0)),"")</f>
        <v>17700</v>
      </c>
      <c r="F92" s="503">
        <f>IFERROR(IF('Operating Statement'!Q29=0,"",ROUND('Operating Statement'!Q29,0)),"")</f>
        <v>17700</v>
      </c>
      <c r="G92" s="509"/>
      <c r="H92" s="509"/>
      <c r="S92" s="454"/>
      <c r="T92" s="454"/>
      <c r="U92" s="454"/>
      <c r="V92" s="454"/>
      <c r="W92" s="454"/>
      <c r="X92" s="454"/>
    </row>
    <row r="93" spans="1:24" ht="15.75">
      <c r="A93" s="461" t="s">
        <v>1117</v>
      </c>
      <c r="B93" s="454" t="s">
        <v>1109</v>
      </c>
      <c r="C93" s="482" t="s">
        <v>1118</v>
      </c>
      <c r="D93" s="501" t="str">
        <f>'Operating Statement'!E30</f>
        <v>Repairs &amp; Maintenance</v>
      </c>
      <c r="E93" s="503">
        <f>IFERROR(IF('Operating Statement'!O30=0,"",ROUND('Operating Statement'!O30,0)),"")</f>
        <v>20250</v>
      </c>
      <c r="F93" s="503">
        <f>IFERROR(IF('Operating Statement'!Q30=0,"",ROUND('Operating Statement'!Q30,0)),"")</f>
        <v>20250</v>
      </c>
      <c r="G93" s="509"/>
      <c r="H93" s="509"/>
      <c r="S93" s="454"/>
      <c r="T93" s="454"/>
      <c r="W93" s="454"/>
      <c r="X93" s="454"/>
    </row>
    <row r="94" spans="1:24" ht="15.75">
      <c r="A94" s="461" t="s">
        <v>1117</v>
      </c>
      <c r="B94" s="454" t="s">
        <v>1109</v>
      </c>
      <c r="C94" s="482" t="s">
        <v>1118</v>
      </c>
      <c r="D94" s="501" t="str">
        <f>'Operating Statement'!E31</f>
        <v>Landscaping</v>
      </c>
      <c r="E94" s="503">
        <f>IFERROR(IF('Operating Statement'!O31=0,"",ROUND('Operating Statement'!O31,0)),"")</f>
        <v>4800</v>
      </c>
      <c r="F94" s="503">
        <f>IFERROR(IF('Operating Statement'!Q31=0,"",ROUND('Operating Statement'!Q31,0)),"")</f>
        <v>4800</v>
      </c>
      <c r="G94" s="509"/>
      <c r="H94" s="509"/>
      <c r="S94" s="454"/>
      <c r="T94" s="454"/>
      <c r="W94" s="454"/>
      <c r="X94" s="454"/>
    </row>
    <row r="95" spans="1:24" ht="15.75">
      <c r="A95" s="461" t="s">
        <v>1117</v>
      </c>
      <c r="B95" s="454" t="s">
        <v>1109</v>
      </c>
      <c r="C95" s="482" t="s">
        <v>1118</v>
      </c>
      <c r="D95" s="501" t="str">
        <f>'Operating Statement'!E32</f>
        <v>Marketing &amp; Advertising</v>
      </c>
      <c r="E95" s="503" t="str">
        <f>IFERROR(IF('Operating Statement'!O32=0,"",ROUND('Operating Statement'!O32,0)),"")</f>
        <v/>
      </c>
      <c r="F95" s="503" t="str">
        <f>IFERROR(IF('Operating Statement'!Q32=0,"",ROUND('Operating Statement'!Q32,0)),"")</f>
        <v/>
      </c>
      <c r="G95" s="509"/>
      <c r="H95" s="509"/>
      <c r="S95" s="454"/>
      <c r="T95" s="454"/>
      <c r="W95" s="454"/>
      <c r="X95" s="454"/>
    </row>
    <row r="96" spans="1:24" ht="15.75">
      <c r="A96" s="461" t="s">
        <v>1117</v>
      </c>
      <c r="B96" s="454" t="s">
        <v>1109</v>
      </c>
      <c r="C96" s="482" t="s">
        <v>1118</v>
      </c>
      <c r="D96" s="501" t="str">
        <f>'Operating Statement'!E33</f>
        <v>Pest Control</v>
      </c>
      <c r="E96" s="503">
        <f>IFERROR(IF('Operating Statement'!O33=0,"",ROUND('Operating Statement'!O33,0)),"")</f>
        <v>700</v>
      </c>
      <c r="F96" s="503">
        <f>IFERROR(IF('Operating Statement'!Q33=0,"",ROUND('Operating Statement'!Q33,0)),"")</f>
        <v>700</v>
      </c>
      <c r="G96" s="509"/>
      <c r="H96" s="509"/>
      <c r="S96" s="454"/>
      <c r="T96" s="454"/>
      <c r="W96" s="454"/>
      <c r="X96" s="454"/>
    </row>
    <row r="97" spans="1:28" ht="15.75">
      <c r="A97" s="461" t="s">
        <v>1117</v>
      </c>
      <c r="B97" s="454" t="s">
        <v>1109</v>
      </c>
      <c r="C97" s="482" t="s">
        <v>1118</v>
      </c>
      <c r="D97" s="501" t="str">
        <f>'Operating Statement'!E34</f>
        <v>Onsite Manager</v>
      </c>
      <c r="E97" s="503">
        <f>IFERROR(IF('Operating Statement'!O34=0,"",ROUND('Operating Statement'!O34,0)),"")</f>
        <v>24000</v>
      </c>
      <c r="F97" s="503">
        <f>IFERROR(IF('Operating Statement'!Q34=0,"",ROUND('Operating Statement'!Q34,0)),"")</f>
        <v>24000</v>
      </c>
      <c r="G97" s="509"/>
      <c r="H97" s="509"/>
      <c r="S97" s="454"/>
      <c r="T97" s="454"/>
      <c r="W97" s="454"/>
      <c r="X97" s="454"/>
    </row>
    <row r="98" spans="1:28" ht="15.75">
      <c r="A98" s="461" t="s">
        <v>1117</v>
      </c>
      <c r="B98" s="454" t="s">
        <v>1109</v>
      </c>
      <c r="C98" s="482" t="s">
        <v>1118</v>
      </c>
      <c r="D98" s="501" t="str">
        <f>'Operating Statement'!E35</f>
        <v>General &amp; Administrative</v>
      </c>
      <c r="E98" s="503">
        <f>IFERROR(IF('Operating Statement'!O35=0,"",ROUND('Operating Statement'!O35,0)),"")</f>
        <v>2160</v>
      </c>
      <c r="F98" s="503">
        <f>IFERROR(IF('Operating Statement'!Q35=0,"",ROUND('Operating Statement'!Q35,0)),"")</f>
        <v>2160</v>
      </c>
      <c r="G98" s="509"/>
      <c r="H98" s="509"/>
      <c r="S98" s="454"/>
      <c r="T98" s="454"/>
      <c r="W98" s="454"/>
      <c r="X98" s="454"/>
    </row>
    <row r="99" spans="1:28" ht="15.75">
      <c r="A99" s="461" t="s">
        <v>1117</v>
      </c>
      <c r="B99" s="454" t="s">
        <v>1109</v>
      </c>
      <c r="C99" s="482" t="s">
        <v>1118</v>
      </c>
      <c r="D99" s="501">
        <f>'Operating Statement'!E36</f>
        <v>0</v>
      </c>
      <c r="E99" s="503" t="str">
        <f>IFERROR(IF('Operating Statement'!O36=0,"",ROUND('Operating Statement'!O36,0)),"")</f>
        <v/>
      </c>
      <c r="F99" s="503" t="str">
        <f>IFERROR(IF('Operating Statement'!Q36=0,"",ROUND('Operating Statement'!Q36,0)),"")</f>
        <v/>
      </c>
      <c r="G99" s="509"/>
      <c r="H99" s="509"/>
      <c r="S99" s="454"/>
      <c r="T99" s="454"/>
      <c r="W99" s="454"/>
      <c r="X99" s="454"/>
    </row>
    <row r="100" spans="1:28" ht="15.75">
      <c r="A100" s="461" t="s">
        <v>1117</v>
      </c>
      <c r="B100" s="454" t="s">
        <v>1109</v>
      </c>
      <c r="C100" s="482" t="s">
        <v>1118</v>
      </c>
      <c r="D100" s="501" t="str">
        <f>'Operating Statement'!E37</f>
        <v>Operating Reserves</v>
      </c>
      <c r="E100" s="503">
        <f>IFERROR(IF('Operating Statement'!O37=0,"",ROUND('Operating Statement'!O37,0)),"")</f>
        <v>4050</v>
      </c>
      <c r="F100" s="503">
        <f>IFERROR(IF('Operating Statement'!Q37=0,"",ROUND('Operating Statement'!Q37,0)),"")</f>
        <v>4050</v>
      </c>
      <c r="G100" s="509"/>
      <c r="H100" s="509"/>
      <c r="S100" s="454"/>
      <c r="T100" s="454"/>
      <c r="W100" s="454"/>
      <c r="X100" s="454"/>
    </row>
    <row r="101" spans="1:28" ht="15.75">
      <c r="A101" s="461" t="s">
        <v>1117</v>
      </c>
      <c r="B101" s="454" t="s">
        <v>1109</v>
      </c>
      <c r="C101" s="482" t="s">
        <v>1118</v>
      </c>
      <c r="D101" s="501" t="str">
        <f>'Operating Statement'!E38</f>
        <v>Management Fee</v>
      </c>
      <c r="E101" s="503">
        <f>IFERROR(IF('Operating Statement'!O38=0,"",ROUND('Operating Statement'!O38,0)),"")</f>
        <v>28381</v>
      </c>
      <c r="F101" s="503">
        <f>IFERROR(IF('Operating Statement'!Q38=0,"",ROUND('Operating Statement'!Q38,0)),"")</f>
        <v>33607</v>
      </c>
      <c r="G101" s="509">
        <f>IFERROR(ROUND('Operating Statement'!P38,4),"")</f>
        <v>0.04</v>
      </c>
      <c r="H101" s="509">
        <f>IFERROR(ROUND('Operating Statement'!R38,4),"")</f>
        <v>0.04</v>
      </c>
      <c r="S101" s="454"/>
      <c r="T101" s="454"/>
      <c r="W101" s="454"/>
      <c r="X101" s="454"/>
    </row>
    <row r="102" spans="1:28" ht="15.75">
      <c r="A102" s="461" t="s">
        <v>1117</v>
      </c>
      <c r="B102" s="454" t="s">
        <v>1109</v>
      </c>
      <c r="C102" s="482" t="s">
        <v>1118</v>
      </c>
      <c r="D102" s="505" t="str">
        <f>'Operating Statement'!E39</f>
        <v>TOTAL EXPENSES</v>
      </c>
      <c r="E102" s="506">
        <f>IFERROR(IF('Operating Statement'!O39=0,"",ROUND('Operating Statement'!O39,0)),"")</f>
        <v>263695</v>
      </c>
      <c r="F102" s="506">
        <f>IFERROR(IF('Operating Statement'!Q39=0,"",ROUND('Operating Statement'!Q39,0)),"")</f>
        <v>268921</v>
      </c>
      <c r="G102" s="508"/>
      <c r="H102" s="508"/>
      <c r="S102" s="454"/>
      <c r="T102" s="454"/>
      <c r="W102" s="454"/>
      <c r="X102" s="454"/>
    </row>
    <row r="103" spans="1:28" ht="15.75">
      <c r="A103" s="461" t="s">
        <v>1117</v>
      </c>
      <c r="B103" s="454" t="s">
        <v>1109</v>
      </c>
      <c r="C103" s="482" t="s">
        <v>1118</v>
      </c>
      <c r="D103" s="505" t="s">
        <v>1121</v>
      </c>
      <c r="E103" s="506">
        <f>IFERROR(E102/TotalUnits,"")</f>
        <v>9766.4814814814818</v>
      </c>
      <c r="F103" s="506">
        <f>IFERROR(F102/TotalUnits,"")</f>
        <v>9960.0370370370365</v>
      </c>
      <c r="G103" s="508"/>
      <c r="H103" s="508"/>
      <c r="S103" s="454"/>
      <c r="T103" s="454"/>
      <c r="W103" s="454"/>
      <c r="X103" s="454"/>
    </row>
    <row r="104" spans="1:28" ht="15.75">
      <c r="A104" s="461" t="s">
        <v>1117</v>
      </c>
      <c r="B104" s="454" t="s">
        <v>1109</v>
      </c>
      <c r="C104" s="482" t="s">
        <v>1118</v>
      </c>
      <c r="D104" s="505" t="s">
        <v>82</v>
      </c>
      <c r="E104" s="519">
        <f>IFERROR(ROUND(E102/TotalRentableSFCell,2),"")</f>
        <v>12.1</v>
      </c>
      <c r="F104" s="519">
        <f>IFERROR(ROUND(F102/TotalRentableSFCell,2),"")</f>
        <v>12.34</v>
      </c>
      <c r="G104" s="508"/>
      <c r="H104" s="508"/>
      <c r="S104" s="454"/>
      <c r="T104" s="454"/>
      <c r="W104" s="454"/>
      <c r="X104" s="454"/>
    </row>
    <row r="105" spans="1:28" ht="15.75">
      <c r="A105" s="461" t="s">
        <v>1117</v>
      </c>
      <c r="B105" s="454" t="s">
        <v>1109</v>
      </c>
      <c r="C105" s="482" t="s">
        <v>1118</v>
      </c>
      <c r="D105" s="505" t="str">
        <f>'Operating Statement'!E40</f>
        <v>EXPENSES AS % OF EGI</v>
      </c>
      <c r="E105" s="507">
        <f>IFERROR(IF('Operating Statement'!O40=0,"",ROUND('Operating Statement'!O40,4)),"")</f>
        <v>0.37159999999999999</v>
      </c>
      <c r="F105" s="507">
        <f>IFERROR(IF('Operating Statement'!Q40=0,"",ROUND('Operating Statement'!Q40,4)),"")</f>
        <v>0.3201</v>
      </c>
      <c r="G105" s="508"/>
      <c r="H105" s="508"/>
      <c r="S105" s="454"/>
      <c r="T105" s="454"/>
      <c r="W105" s="454"/>
      <c r="X105" s="454"/>
    </row>
    <row r="106" spans="1:28" ht="15">
      <c r="A106" s="454" t="s">
        <v>1122</v>
      </c>
      <c r="B106" s="454" t="s">
        <v>1123</v>
      </c>
      <c r="C106" s="510" t="s">
        <v>1124</v>
      </c>
      <c r="D106" t="str">
        <f>IF((COUNTA('Rent Roll Summary Input'!C8:C17,'Rent Roll Summary Input'!C24:C33,'Rent Roll Summary Input'!C40:C44,'Rent Roll Summary Input'!C51:C55))&gt;20,"True","False")</f>
        <v>False</v>
      </c>
      <c r="E106" s="454"/>
      <c r="F106" s="454"/>
      <c r="G106" s="454"/>
      <c r="H106" s="454"/>
      <c r="I106" s="454"/>
      <c r="J106" s="454"/>
      <c r="K106" s="454"/>
      <c r="L106" s="454"/>
      <c r="M106" s="454"/>
      <c r="N106" s="454"/>
      <c r="O106" s="454"/>
      <c r="P106" s="454"/>
      <c r="Q106" s="454"/>
      <c r="R106" s="454"/>
      <c r="S106" s="454"/>
      <c r="T106" s="454"/>
      <c r="U106" s="454"/>
      <c r="V106" s="454"/>
      <c r="W106" s="454"/>
      <c r="X106" s="454"/>
      <c r="Y106" s="454"/>
      <c r="Z106" s="454"/>
      <c r="AA106" s="454"/>
      <c r="AB106" s="454"/>
    </row>
    <row r="107" spans="1:28" ht="15">
      <c r="A107" s="454" t="s">
        <v>1125</v>
      </c>
      <c r="B107" s="454" t="s">
        <v>1109</v>
      </c>
      <c r="C107" s="454" t="s">
        <v>1126</v>
      </c>
      <c r="D107" s="502" t="s">
        <v>55</v>
      </c>
      <c r="E107" s="502" t="s">
        <v>1127</v>
      </c>
      <c r="F107" s="502" t="s">
        <v>56</v>
      </c>
      <c r="G107" s="522" t="s">
        <v>57</v>
      </c>
      <c r="H107" s="454"/>
      <c r="I107" s="454"/>
      <c r="J107" s="454"/>
      <c r="K107" s="454"/>
      <c r="L107" s="454"/>
      <c r="M107" s="454"/>
      <c r="N107" s="454"/>
      <c r="O107" s="454"/>
      <c r="P107" s="454"/>
      <c r="Q107" s="454"/>
      <c r="R107" s="454"/>
      <c r="S107" s="454"/>
      <c r="T107" s="454"/>
      <c r="U107" s="454"/>
      <c r="V107" s="454"/>
      <c r="W107" s="454"/>
      <c r="X107" s="454"/>
      <c r="Y107" s="454"/>
      <c r="Z107" s="454"/>
      <c r="AA107" s="454"/>
      <c r="AB107" s="454"/>
    </row>
    <row r="108" spans="1:28" ht="15.75">
      <c r="A108" s="454" t="s">
        <v>1125</v>
      </c>
      <c r="B108" s="454" t="s">
        <v>1109</v>
      </c>
      <c r="C108" s="454" t="s">
        <v>1126</v>
      </c>
      <c r="D108" s="501" t="s">
        <v>58</v>
      </c>
      <c r="E108" s="503">
        <f>ROUND(IFERROR(IF(SwitchRentRollType="Summary",SUMIF('Rent Roll Summary Input'!$A$8:$A$46,D108,'Rent Roll Summary Input'!$M$8:$M$46)/SUMIF('Rent Roll Summary Input'!$A$8:$A$46,D108,'Rent Roll Summary Input'!$D$8:$D$46),AVERAGEIFS('Rent Roll Detail Input'!$J$12:$J$1011,'Rent Roll Detail Input'!$P$12:$P$1011,D108,'Rent Roll Detail Input'!$J$12:$J$1011,"&lt;&gt;0")),0),0)</f>
        <v>1923</v>
      </c>
      <c r="F108" s="520">
        <f>IFERROR(ROUND(E108/G108,2),"")</f>
        <v>2.96</v>
      </c>
      <c r="G108" s="521">
        <f>IFERROR(ROUND(IF(SwitchRentRollType="Summary",AVERAGEIF('Rent Roll Summary Input'!$A$8:$A$46,D108,'Rent Roll Summary Input'!$E$8:$E$46),AVERAGEIFS('Rent Roll Detail Input'!$I$12:$I$1011,'Rent Roll Detail Input'!$P$12:$P$1011,$D108,'Rent Roll Detail Input'!$J$12:$J$1011,"&lt;&gt;0")),2),0)</f>
        <v>650</v>
      </c>
      <c r="H108" s="454"/>
      <c r="I108" s="454"/>
      <c r="J108" s="454"/>
      <c r="K108" s="454"/>
      <c r="L108" s="454"/>
      <c r="M108" s="454"/>
      <c r="N108" s="454"/>
      <c r="O108" s="454"/>
      <c r="P108" s="454"/>
      <c r="Q108" s="454"/>
      <c r="R108" s="454"/>
      <c r="S108" s="454"/>
      <c r="T108" s="454"/>
      <c r="U108" s="454"/>
      <c r="V108" s="454"/>
      <c r="W108" s="454"/>
      <c r="X108" s="454"/>
      <c r="Y108" s="454"/>
      <c r="Z108" s="454"/>
      <c r="AA108" s="454"/>
      <c r="AB108" s="454"/>
    </row>
    <row r="109" spans="1:28" ht="15.75">
      <c r="A109" s="454" t="s">
        <v>1125</v>
      </c>
      <c r="B109" s="454" t="s">
        <v>1109</v>
      </c>
      <c r="C109" s="454" t="s">
        <v>1126</v>
      </c>
      <c r="D109" s="501" t="s">
        <v>60</v>
      </c>
      <c r="E109" s="503">
        <f>ROUND(IFERROR(IF(SwitchRentRollType="Summary",SUMIF('Rent Roll Summary Input'!$A$8:$A$46,D109,'Rent Roll Summary Input'!$M$8:$M$46)/SUMIF('Rent Roll Summary Input'!$A$8:$A$46,D109,'Rent Roll Summary Input'!$D$8:$D$46),AVERAGEIFS('Rent Roll Detail Input'!$J$12:$J$1011,'Rent Roll Detail Input'!$P$12:$P$1011,D109,'Rent Roll Detail Input'!$J$12:$J$1011,"&lt;&gt;0")),0),0)</f>
        <v>2163</v>
      </c>
      <c r="F109" s="520">
        <f t="shared" ref="F109:F115" si="0">IFERROR(ROUND(E109/G109,2),"")</f>
        <v>2.88</v>
      </c>
      <c r="G109" s="521">
        <f>IFERROR(ROUND(IF(SwitchRentRollType="Summary",AVERAGEIF('Rent Roll Summary Input'!$A$8:$A$46,D109,'Rent Roll Summary Input'!$E$8:$E$46),AVERAGEIFS('Rent Roll Detail Input'!$I$12:$I$1011,'Rent Roll Detail Input'!$P$12:$P$1011,$D109,'Rent Roll Detail Input'!$J$12:$J$1011,"&lt;&gt;0")),2),0)</f>
        <v>750</v>
      </c>
      <c r="H109" s="454"/>
      <c r="I109" s="454"/>
      <c r="J109" s="454"/>
      <c r="K109" s="454"/>
      <c r="L109" s="454"/>
      <c r="M109" s="454"/>
      <c r="N109" s="454"/>
      <c r="O109" s="454"/>
      <c r="P109" s="454"/>
      <c r="Q109" s="454"/>
      <c r="R109" s="454"/>
      <c r="S109" s="454"/>
      <c r="T109" s="454"/>
      <c r="U109" s="454"/>
      <c r="V109" s="454"/>
      <c r="W109" s="454"/>
      <c r="X109" s="454"/>
      <c r="Y109" s="454"/>
      <c r="Z109" s="454"/>
      <c r="AA109" s="454"/>
      <c r="AB109" s="454"/>
    </row>
    <row r="110" spans="1:28" ht="15.75">
      <c r="A110" s="454" t="s">
        <v>1125</v>
      </c>
      <c r="B110" s="454" t="s">
        <v>1109</v>
      </c>
      <c r="C110" s="454" t="s">
        <v>1126</v>
      </c>
      <c r="D110" s="501" t="s">
        <v>62</v>
      </c>
      <c r="E110" s="503">
        <f>ROUND(IFERROR(IF(SwitchRentRollType="Summary",SUMIF('Rent Roll Summary Input'!$A$8:$A$46,D110,'Rent Roll Summary Input'!$M$8:$M$46)/SUMIF('Rent Roll Summary Input'!$A$8:$A$46,D110,'Rent Roll Summary Input'!$D$8:$D$46),AVERAGEIFS('Rent Roll Detail Input'!$J$12:$J$1011,'Rent Roll Detail Input'!$P$12:$P$1011,D110,'Rent Roll Detail Input'!$J$12:$J$1011,"&lt;&gt;0")),0),0)</f>
        <v>0</v>
      </c>
      <c r="F110" s="520" t="str">
        <f t="shared" si="0"/>
        <v/>
      </c>
      <c r="G110" s="521">
        <f>IFERROR(ROUND(IF(SwitchRentRollType="Summary",AVERAGEIF('Rent Roll Summary Input'!$A$8:$A$46,D110,'Rent Roll Summary Input'!$E$8:$E$46),AVERAGEIFS('Rent Roll Detail Input'!$I$12:$I$1011,'Rent Roll Detail Input'!$P$12:$P$1011,$D110,'Rent Roll Detail Input'!$J$12:$J$1011,"&lt;&gt;0")),2),0)</f>
        <v>0</v>
      </c>
      <c r="H110" s="454"/>
      <c r="I110" s="454"/>
      <c r="J110" s="454"/>
      <c r="K110" s="454"/>
      <c r="L110" s="454"/>
      <c r="M110" s="454"/>
      <c r="N110" s="454"/>
      <c r="O110" s="454"/>
      <c r="P110" s="454"/>
      <c r="Q110" s="454"/>
      <c r="R110" s="454"/>
      <c r="S110" s="454"/>
      <c r="T110" s="454"/>
      <c r="U110" s="454"/>
      <c r="V110" s="454"/>
      <c r="W110" s="454"/>
      <c r="X110" s="454"/>
      <c r="Y110" s="454"/>
      <c r="Z110" s="454"/>
      <c r="AA110" s="454"/>
      <c r="AB110" s="454"/>
    </row>
    <row r="111" spans="1:28" ht="15.75">
      <c r="A111" s="454" t="s">
        <v>1125</v>
      </c>
      <c r="B111" s="454" t="s">
        <v>1109</v>
      </c>
      <c r="C111" s="454" t="s">
        <v>1126</v>
      </c>
      <c r="D111" s="501" t="s">
        <v>64</v>
      </c>
      <c r="E111" s="503">
        <f>ROUND(IFERROR(IF(SwitchRentRollType="Summary",SUMIF('Rent Roll Summary Input'!$A$8:$A$46,D111,'Rent Roll Summary Input'!$M$8:$M$46)/SUMIF('Rent Roll Summary Input'!$A$8:$A$46,D111,'Rent Roll Summary Input'!$D$8:$D$46),AVERAGEIFS('Rent Roll Detail Input'!$J$12:$J$1011,'Rent Roll Detail Input'!$P$12:$P$1011,D111,'Rent Roll Detail Input'!$J$12:$J$1011,"&lt;&gt;0")),0),0)</f>
        <v>0</v>
      </c>
      <c r="F111" s="520">
        <f t="shared" si="0"/>
        <v>0</v>
      </c>
      <c r="G111" s="521">
        <f>IFERROR(ROUND(IF(SwitchRentRollType="Summary",AVERAGEIF('Rent Roll Summary Input'!$A$8:$A$46,D111,'Rent Roll Summary Input'!$E$8:$E$46),AVERAGEIFS('Rent Roll Detail Input'!$I$12:$I$1011,'Rent Roll Detail Input'!$P$12:$P$1011,$D111,'Rent Roll Detail Input'!$J$12:$J$1011,"&lt;&gt;0")),2),0)</f>
        <v>2500</v>
      </c>
      <c r="H111" s="454"/>
      <c r="I111" s="454"/>
      <c r="J111" s="454"/>
      <c r="K111" s="454"/>
      <c r="L111" s="454"/>
      <c r="M111" s="454"/>
      <c r="N111" s="454"/>
      <c r="O111" s="454"/>
      <c r="P111" s="454"/>
      <c r="Q111" s="454"/>
      <c r="R111" s="454"/>
      <c r="S111" s="454"/>
      <c r="T111" s="454"/>
      <c r="U111" s="454"/>
      <c r="V111" s="454"/>
      <c r="W111" s="454"/>
      <c r="X111" s="454"/>
      <c r="Y111" s="454"/>
      <c r="Z111" s="454"/>
      <c r="AA111" s="454"/>
      <c r="AB111" s="454"/>
    </row>
    <row r="112" spans="1:28" ht="15.75">
      <c r="A112" s="454" t="s">
        <v>1125</v>
      </c>
      <c r="B112" s="454" t="s">
        <v>1109</v>
      </c>
      <c r="C112" s="454" t="s">
        <v>1126</v>
      </c>
      <c r="D112" s="501" t="s">
        <v>66</v>
      </c>
      <c r="E112" s="503">
        <f>ROUND(IFERROR(IF(SwitchRentRollType="Summary",SUMIF('Rent Roll Summary Input'!$A$8:$A$46,D112,'Rent Roll Summary Input'!$M$8:$M$46)/SUMIF('Rent Roll Summary Input'!$A$8:$A$46,D112,'Rent Roll Summary Input'!$D$8:$D$46),AVERAGEIFS('Rent Roll Detail Input'!$J$12:$J$1011,'Rent Roll Detail Input'!$P$12:$P$1011,D112,'Rent Roll Detail Input'!$J$12:$J$1011,"&lt;&gt;0")),0),0)</f>
        <v>0</v>
      </c>
      <c r="F112" s="520" t="str">
        <f t="shared" si="0"/>
        <v/>
      </c>
      <c r="G112" s="521">
        <f>IFERROR(ROUND(IF(SwitchRentRollType="Summary",AVERAGEIF('Rent Roll Summary Input'!$A$8:$A$46,D112,'Rent Roll Summary Input'!$E$8:$E$46),AVERAGEIFS('Rent Roll Detail Input'!$I$12:$I$1011,'Rent Roll Detail Input'!$P$12:$P$1011,$D112,'Rent Roll Detail Input'!$J$12:$J$1011,"&lt;&gt;0")),2),0)</f>
        <v>0</v>
      </c>
      <c r="H112" s="454"/>
      <c r="I112" s="454"/>
      <c r="J112" s="454"/>
      <c r="K112" s="454"/>
      <c r="L112" s="454"/>
      <c r="M112" s="454"/>
      <c r="N112" s="454"/>
      <c r="O112" s="454"/>
      <c r="P112" s="454"/>
      <c r="Q112" s="454"/>
      <c r="R112" s="454"/>
      <c r="S112" s="454"/>
      <c r="T112" s="454"/>
      <c r="U112" s="454"/>
      <c r="V112" s="454"/>
      <c r="W112" s="454"/>
      <c r="X112" s="454"/>
      <c r="Y112" s="454"/>
      <c r="Z112" s="454"/>
      <c r="AA112" s="454"/>
      <c r="AB112" s="454"/>
    </row>
    <row r="113" spans="1:28" ht="15.75">
      <c r="A113" s="454" t="s">
        <v>1125</v>
      </c>
      <c r="B113" s="454" t="s">
        <v>1109</v>
      </c>
      <c r="C113" s="454" t="s">
        <v>1126</v>
      </c>
      <c r="D113" s="501" t="s">
        <v>68</v>
      </c>
      <c r="E113" s="503">
        <f>ROUND(IFERROR(IF(SwitchRentRollType="Summary",SUMIF('Rent Roll Summary Input'!$A$8:$A$46,D113,'Rent Roll Summary Input'!$M$8:$M$46)/SUMIF('Rent Roll Summary Input'!$A$8:$A$46,D113,'Rent Roll Summary Input'!$D$8:$D$46),AVERAGEIFS('Rent Roll Detail Input'!$J$12:$J$1011,'Rent Roll Detail Input'!$P$12:$P$1011,D113,'Rent Roll Detail Input'!$J$12:$J$1011,"&lt;&gt;0")),0),0)</f>
        <v>0</v>
      </c>
      <c r="F113" s="520" t="str">
        <f t="shared" si="0"/>
        <v/>
      </c>
      <c r="G113" s="521">
        <f>IFERROR(ROUND(IF(SwitchRentRollType="Summary",AVERAGEIF('Rent Roll Summary Input'!$A$8:$A$46,D113,'Rent Roll Summary Input'!$E$8:$E$46),AVERAGEIFS('Rent Roll Detail Input'!$I$12:$I$1011,'Rent Roll Detail Input'!$P$12:$P$1011,$D113,'Rent Roll Detail Input'!$J$12:$J$1011,"&lt;&gt;0")),2),0)</f>
        <v>0</v>
      </c>
      <c r="H113" s="454"/>
      <c r="I113" s="454"/>
      <c r="J113" s="454"/>
      <c r="K113" s="454"/>
      <c r="L113" s="454"/>
      <c r="M113" s="454"/>
      <c r="N113" s="454"/>
      <c r="O113" s="454"/>
      <c r="P113" s="454"/>
      <c r="Q113" s="454"/>
      <c r="R113" s="454"/>
      <c r="S113" s="454"/>
      <c r="T113" s="454"/>
      <c r="U113" s="454"/>
      <c r="V113" s="454"/>
      <c r="W113" s="454"/>
      <c r="X113" s="454"/>
      <c r="Y113" s="454"/>
      <c r="Z113" s="454"/>
      <c r="AA113" s="454"/>
      <c r="AB113" s="454"/>
    </row>
    <row r="114" spans="1:28" ht="15.75">
      <c r="A114" s="454" t="s">
        <v>1125</v>
      </c>
      <c r="B114" s="454" t="s">
        <v>1109</v>
      </c>
      <c r="C114" s="454" t="s">
        <v>1126</v>
      </c>
      <c r="D114" s="501" t="s">
        <v>70</v>
      </c>
      <c r="E114" s="503">
        <f>ROUND(IFERROR(IF(SwitchRentRollType="Summary",SUMIF('Rent Roll Summary Input'!$A$8:$A$46,D114,'Rent Roll Summary Input'!$M$8:$M$46)/SUMIF('Rent Roll Summary Input'!$A$8:$A$46,D114,'Rent Roll Summary Input'!$D$8:$D$46),AVERAGEIFS('Rent Roll Detail Input'!$J$12:$J$1011,'Rent Roll Detail Input'!$P$12:$P$1011,D114,'Rent Roll Detail Input'!$J$12:$J$1011,"&lt;&gt;0")),0),0)</f>
        <v>0</v>
      </c>
      <c r="F114" s="520" t="str">
        <f t="shared" si="0"/>
        <v/>
      </c>
      <c r="G114" s="521">
        <f>IFERROR(ROUND(IF(SwitchRentRollType="Summary",AVERAGEIF('Rent Roll Summary Input'!$A$8:$A$46,D114,'Rent Roll Summary Input'!$E$8:$E$46),AVERAGEIFS('Rent Roll Detail Input'!$I$12:$I$1011,'Rent Roll Detail Input'!$P$12:$P$1011,$D114,'Rent Roll Detail Input'!$J$12:$J$1011,"&lt;&gt;0")),2),0)</f>
        <v>0</v>
      </c>
      <c r="H114" s="454"/>
      <c r="I114" s="454"/>
      <c r="J114" s="454"/>
      <c r="K114" s="454"/>
      <c r="L114" s="454"/>
      <c r="M114" s="454"/>
      <c r="N114" s="454"/>
      <c r="O114" s="454"/>
      <c r="P114" s="454"/>
      <c r="Q114" s="454"/>
      <c r="R114" s="454"/>
      <c r="S114" s="454"/>
      <c r="T114" s="454"/>
      <c r="U114" s="454"/>
      <c r="V114" s="454"/>
      <c r="W114" s="454"/>
      <c r="X114" s="454"/>
      <c r="Y114" s="454"/>
      <c r="Z114" s="454"/>
      <c r="AA114" s="454"/>
      <c r="AB114" s="454"/>
    </row>
    <row r="115" spans="1:28" ht="15.75">
      <c r="A115" s="454" t="s">
        <v>1125</v>
      </c>
      <c r="B115" s="454" t="s">
        <v>1109</v>
      </c>
      <c r="C115" s="454" t="s">
        <v>1126</v>
      </c>
      <c r="D115" s="501" t="s">
        <v>72</v>
      </c>
      <c r="E115" s="503">
        <f>ROUND(IFERROR(IF(SwitchRentRollType="Summary",SUMIF('Rent Roll Summary Input'!$A$8:$A$46,D115,'Rent Roll Summary Input'!$M$8:$M$46)/SUMIF('Rent Roll Summary Input'!$A$8:$A$46,D115,'Rent Roll Summary Input'!$D$8:$D$46),AVERAGEIFS('Rent Roll Detail Input'!$J$12:$J$1011,'Rent Roll Detail Input'!$P$12:$P$1011,D115,'Rent Roll Detail Input'!$J$12:$J$1011,"&lt;&gt;0")),0),0)</f>
        <v>0</v>
      </c>
      <c r="F115" s="520" t="str">
        <f t="shared" si="0"/>
        <v/>
      </c>
      <c r="G115" s="521">
        <f>IFERROR(ROUND(IF(SwitchRentRollType="Summary",AVERAGEIF('Rent Roll Summary Input'!$A$8:$A$46,D115,'Rent Roll Summary Input'!$E$8:$E$46),AVERAGEIFS('Rent Roll Detail Input'!$I$12:$I$1011,'Rent Roll Detail Input'!$P$12:$P$1011,$D115,'Rent Roll Detail Input'!$J$12:$J$1011,"&lt;&gt;0")),2),0)</f>
        <v>0</v>
      </c>
      <c r="H115" s="454"/>
      <c r="I115" s="454"/>
      <c r="J115" s="454"/>
      <c r="K115" s="454"/>
      <c r="L115" s="454"/>
      <c r="M115" s="454"/>
      <c r="N115" s="454"/>
      <c r="O115" s="454"/>
      <c r="P115" s="454"/>
      <c r="Q115" s="454"/>
      <c r="R115" s="454"/>
      <c r="S115" s="454"/>
      <c r="T115" s="454"/>
      <c r="U115" s="454"/>
      <c r="V115" s="454"/>
      <c r="W115" s="454"/>
      <c r="X115" s="454"/>
      <c r="Y115" s="454"/>
      <c r="Z115" s="454"/>
      <c r="AA115" s="454"/>
      <c r="AB115" s="454"/>
    </row>
    <row r="116" spans="1:28" ht="15">
      <c r="A116" s="454" t="s">
        <v>1128</v>
      </c>
      <c r="B116" s="454" t="s">
        <v>1006</v>
      </c>
      <c r="C116" s="454" t="s">
        <v>1129</v>
      </c>
      <c r="D116" s="267">
        <f>IFERROR(IF(SUM(E89:E91)=0,"",SUM(E89:E91)),"")</f>
        <v>27924</v>
      </c>
      <c r="E116" s="454"/>
      <c r="F116" s="454"/>
      <c r="G116" s="454"/>
      <c r="H116" s="454"/>
      <c r="I116" s="454"/>
      <c r="J116" s="454"/>
      <c r="K116" s="454"/>
      <c r="L116" s="454"/>
      <c r="M116" s="454"/>
      <c r="N116" s="454"/>
      <c r="O116" s="454"/>
      <c r="P116" s="454"/>
      <c r="Q116" s="454"/>
      <c r="R116" s="454"/>
      <c r="S116" s="454"/>
      <c r="T116" s="454"/>
      <c r="U116" s="454"/>
      <c r="V116" s="454"/>
      <c r="W116" s="454"/>
      <c r="X116" s="454"/>
      <c r="Y116" s="454"/>
      <c r="Z116" s="454"/>
      <c r="AA116" s="454"/>
      <c r="AB116" s="454"/>
    </row>
    <row r="117" spans="1:28" ht="15">
      <c r="A117" s="454" t="s">
        <v>1130</v>
      </c>
      <c r="B117" s="454" t="s">
        <v>1006</v>
      </c>
      <c r="C117" s="454" t="s">
        <v>1131</v>
      </c>
      <c r="D117" s="267">
        <f>IFERROR(IF(SUM(F89:F91)=0,"",SUM(F89:F91)),"")</f>
        <v>27924</v>
      </c>
      <c r="E117" s="454"/>
      <c r="F117" s="454"/>
      <c r="G117" s="454"/>
      <c r="H117" s="454"/>
      <c r="I117" s="454"/>
      <c r="J117" s="454"/>
      <c r="K117" s="454"/>
      <c r="L117" s="454"/>
      <c r="M117" s="454"/>
      <c r="N117" s="454"/>
      <c r="O117" s="454"/>
      <c r="P117" s="454"/>
      <c r="Q117" s="454"/>
      <c r="R117" s="454"/>
      <c r="S117" s="454"/>
      <c r="T117" s="454"/>
      <c r="U117" s="454"/>
      <c r="V117" s="454"/>
      <c r="W117" s="454"/>
      <c r="X117" s="454"/>
      <c r="Y117" s="454"/>
      <c r="Z117" s="454"/>
      <c r="AA117" s="454"/>
      <c r="AB117" s="454"/>
    </row>
    <row r="118" spans="1:28" ht="15">
      <c r="A118" s="454"/>
      <c r="B118" s="454"/>
      <c r="C118" s="454"/>
      <c r="E118" s="454"/>
      <c r="F118" s="454"/>
      <c r="G118" s="454"/>
      <c r="H118" s="454"/>
      <c r="I118" s="454"/>
      <c r="J118" s="454"/>
      <c r="K118" s="454"/>
      <c r="L118" s="454"/>
      <c r="M118" s="454"/>
      <c r="N118" s="454"/>
      <c r="O118" s="454"/>
      <c r="P118" s="454"/>
      <c r="Q118" s="454"/>
      <c r="R118" s="454"/>
      <c r="S118" s="454"/>
      <c r="T118" s="454"/>
      <c r="U118" s="454"/>
      <c r="V118" s="454"/>
      <c r="W118" s="454"/>
      <c r="X118" s="454"/>
      <c r="Y118" s="454"/>
      <c r="Z118" s="454"/>
      <c r="AA118" s="454"/>
      <c r="AB118" s="454"/>
    </row>
    <row r="119" spans="1:28" ht="15">
      <c r="A119" s="454"/>
      <c r="B119" s="454"/>
      <c r="C119" s="454"/>
      <c r="E119" s="454"/>
      <c r="F119" s="454"/>
      <c r="G119" s="454"/>
      <c r="H119" s="454"/>
      <c r="I119" s="454"/>
      <c r="J119" s="454"/>
      <c r="K119" s="454"/>
      <c r="L119" s="454"/>
      <c r="M119" s="454"/>
      <c r="N119" s="454"/>
      <c r="O119" s="454"/>
      <c r="P119" s="454"/>
      <c r="Q119" s="454"/>
      <c r="R119" s="454"/>
      <c r="S119" s="454"/>
      <c r="T119" s="454"/>
      <c r="U119" s="454"/>
      <c r="V119" s="454"/>
      <c r="W119" s="454"/>
      <c r="X119" s="454"/>
      <c r="Y119" s="454"/>
      <c r="Z119" s="454"/>
      <c r="AA119" s="454"/>
      <c r="AB119" s="454"/>
    </row>
    <row r="120" spans="1:28" ht="15">
      <c r="A120" s="454"/>
      <c r="B120" s="454"/>
      <c r="C120" s="454"/>
      <c r="E120" s="454"/>
      <c r="F120" s="454"/>
      <c r="G120" s="454"/>
      <c r="H120" s="454"/>
      <c r="I120" s="454"/>
      <c r="J120" s="454"/>
      <c r="K120" s="454"/>
      <c r="L120" s="454"/>
      <c r="M120" s="454"/>
      <c r="N120" s="454"/>
      <c r="O120" s="454"/>
      <c r="P120" s="454"/>
      <c r="Q120" s="454"/>
      <c r="R120" s="454"/>
      <c r="S120" s="454"/>
      <c r="T120" s="454"/>
      <c r="U120" s="454"/>
      <c r="V120" s="454"/>
      <c r="W120" s="454"/>
      <c r="X120" s="454"/>
      <c r="Y120" s="454"/>
      <c r="Z120" s="454"/>
      <c r="AA120" s="454"/>
      <c r="AB120" s="454"/>
    </row>
    <row r="121" spans="1:28" ht="15">
      <c r="A121" s="454"/>
      <c r="B121" s="454"/>
      <c r="C121" s="454"/>
      <c r="E121" s="454"/>
      <c r="F121" s="454"/>
      <c r="G121" s="454"/>
      <c r="H121" s="454"/>
      <c r="I121" s="454"/>
      <c r="J121" s="454"/>
      <c r="K121" s="454"/>
      <c r="L121" s="454"/>
      <c r="M121" s="454"/>
      <c r="N121" s="454"/>
      <c r="O121" s="454"/>
      <c r="P121" s="454"/>
      <c r="Q121" s="454"/>
      <c r="R121" s="454"/>
      <c r="S121" s="454"/>
      <c r="T121" s="454"/>
      <c r="U121" s="454"/>
      <c r="V121" s="454"/>
      <c r="W121" s="454"/>
      <c r="X121" s="454"/>
      <c r="Y121" s="454"/>
      <c r="Z121" s="454"/>
      <c r="AA121" s="454"/>
      <c r="AB121" s="454"/>
    </row>
    <row r="122" spans="1:28" ht="15">
      <c r="A122" s="454"/>
      <c r="B122" s="454"/>
      <c r="C122" s="454"/>
      <c r="E122" s="454"/>
      <c r="F122" s="454"/>
      <c r="G122" s="454"/>
      <c r="H122" s="454"/>
      <c r="I122" s="454"/>
      <c r="J122" s="454"/>
      <c r="K122" s="454"/>
      <c r="L122" s="454"/>
      <c r="M122" s="454"/>
      <c r="N122" s="454"/>
      <c r="O122" s="454"/>
      <c r="P122" s="454"/>
      <c r="Q122" s="454"/>
      <c r="R122" s="454"/>
      <c r="S122" s="454"/>
      <c r="T122" s="454"/>
      <c r="U122" s="454"/>
      <c r="V122" s="454"/>
      <c r="W122" s="454"/>
      <c r="X122" s="454"/>
      <c r="Y122" s="454"/>
      <c r="Z122" s="454"/>
      <c r="AA122" s="454"/>
      <c r="AB122" s="454"/>
    </row>
    <row r="123" spans="1:28" ht="15">
      <c r="A123" s="454"/>
      <c r="B123" s="454"/>
      <c r="C123" s="454"/>
      <c r="E123" s="454"/>
      <c r="F123" s="454"/>
      <c r="G123" s="454"/>
      <c r="H123" s="454"/>
      <c r="I123" s="454"/>
      <c r="J123" s="454"/>
      <c r="K123" s="454"/>
      <c r="L123" s="454"/>
      <c r="M123" s="454"/>
      <c r="N123" s="454"/>
      <c r="O123" s="454"/>
      <c r="P123" s="454"/>
      <c r="Q123" s="454"/>
      <c r="R123" s="454"/>
      <c r="S123" s="454"/>
      <c r="T123" s="454"/>
      <c r="U123" s="454"/>
      <c r="V123" s="454"/>
      <c r="W123" s="454"/>
      <c r="X123" s="454"/>
      <c r="Y123" s="454"/>
      <c r="Z123" s="454"/>
      <c r="AA123" s="454"/>
      <c r="AB123" s="454"/>
    </row>
    <row r="124" spans="1:28" ht="15">
      <c r="A124" s="454"/>
      <c r="B124" s="454"/>
      <c r="C124" s="454"/>
      <c r="E124" s="454"/>
      <c r="F124" s="454"/>
      <c r="G124" s="454"/>
      <c r="H124" s="454"/>
      <c r="I124" s="454"/>
      <c r="J124" s="454"/>
      <c r="K124" s="454"/>
      <c r="L124" s="454"/>
      <c r="M124" s="454"/>
      <c r="N124" s="454"/>
      <c r="O124" s="454"/>
      <c r="P124" s="454"/>
      <c r="Q124" s="454"/>
      <c r="R124" s="454"/>
      <c r="S124" s="454"/>
      <c r="T124" s="454"/>
      <c r="U124" s="454"/>
      <c r="V124" s="454"/>
      <c r="W124" s="454"/>
      <c r="X124" s="454"/>
      <c r="Y124" s="454"/>
      <c r="Z124" s="454"/>
      <c r="AA124" s="454"/>
      <c r="AB124" s="454"/>
    </row>
    <row r="125" spans="1:28" ht="15">
      <c r="A125" s="454"/>
      <c r="B125" s="454"/>
      <c r="C125" s="454"/>
      <c r="E125" s="454"/>
      <c r="F125" s="454"/>
      <c r="G125" s="454"/>
      <c r="H125" s="454"/>
      <c r="I125" s="454"/>
      <c r="J125" s="454"/>
      <c r="K125" s="454"/>
      <c r="L125" s="454"/>
      <c r="M125" s="454"/>
      <c r="N125" s="454"/>
      <c r="O125" s="454"/>
      <c r="P125" s="454"/>
      <c r="Q125" s="454"/>
      <c r="R125" s="454"/>
      <c r="S125" s="454"/>
      <c r="T125" s="454"/>
      <c r="U125" s="454"/>
      <c r="V125" s="454"/>
      <c r="W125" s="454"/>
      <c r="X125" s="454"/>
      <c r="Y125" s="454"/>
      <c r="Z125" s="454"/>
      <c r="AA125" s="454"/>
      <c r="AB125" s="454"/>
    </row>
    <row r="126" spans="1:28" ht="15">
      <c r="A126" s="454"/>
      <c r="B126" s="454"/>
      <c r="C126" s="454"/>
      <c r="E126" s="454"/>
      <c r="F126" s="454"/>
      <c r="G126" s="454"/>
      <c r="H126" s="454"/>
      <c r="I126" s="454"/>
      <c r="J126" s="454"/>
      <c r="K126" s="454"/>
      <c r="L126" s="454"/>
      <c r="M126" s="454"/>
      <c r="N126" s="454"/>
      <c r="O126" s="454"/>
      <c r="P126" s="454"/>
      <c r="Q126" s="454"/>
      <c r="R126" s="454"/>
      <c r="S126" s="454"/>
      <c r="T126" s="454"/>
      <c r="U126" s="454"/>
      <c r="V126" s="454"/>
      <c r="W126" s="454"/>
      <c r="X126" s="454"/>
      <c r="Y126" s="454"/>
      <c r="Z126" s="454"/>
      <c r="AA126" s="454"/>
      <c r="AB126" s="454"/>
    </row>
    <row r="127" spans="1:28" ht="15">
      <c r="A127" s="454"/>
      <c r="B127" s="454"/>
      <c r="C127" s="454"/>
      <c r="E127" s="454"/>
      <c r="F127" s="454"/>
      <c r="G127" s="454"/>
      <c r="H127" s="454"/>
      <c r="I127" s="454"/>
      <c r="J127" s="454"/>
      <c r="K127" s="454"/>
      <c r="L127" s="454"/>
      <c r="M127" s="454"/>
      <c r="N127" s="454"/>
      <c r="O127" s="454"/>
      <c r="P127" s="454"/>
      <c r="Q127" s="454"/>
      <c r="R127" s="454"/>
      <c r="S127" s="454"/>
      <c r="T127" s="454"/>
      <c r="U127" s="454"/>
      <c r="V127" s="454"/>
      <c r="W127" s="454"/>
      <c r="X127" s="454"/>
      <c r="Y127" s="454"/>
      <c r="Z127" s="454"/>
      <c r="AA127" s="454"/>
      <c r="AB127" s="454"/>
    </row>
    <row r="128" spans="1:28" ht="15">
      <c r="A128" s="454"/>
      <c r="B128" s="454"/>
      <c r="C128" s="454"/>
      <c r="E128" s="454"/>
      <c r="F128" s="454"/>
      <c r="G128" s="454"/>
      <c r="H128" s="454"/>
      <c r="I128" s="454"/>
      <c r="J128" s="454"/>
      <c r="K128" s="454"/>
      <c r="L128" s="454"/>
      <c r="M128" s="454"/>
      <c r="N128" s="454"/>
      <c r="O128" s="454"/>
      <c r="P128" s="454"/>
      <c r="Q128" s="454"/>
      <c r="R128" s="454"/>
      <c r="S128" s="454"/>
      <c r="T128" s="454"/>
      <c r="U128" s="454"/>
      <c r="V128" s="454"/>
      <c r="W128" s="454"/>
      <c r="X128" s="454"/>
      <c r="Y128" s="454"/>
      <c r="Z128" s="454"/>
      <c r="AA128" s="454"/>
      <c r="AB128" s="454"/>
    </row>
    <row r="129" spans="1:28" ht="15">
      <c r="A129" s="454"/>
      <c r="B129" s="454"/>
      <c r="C129" s="454"/>
      <c r="E129" s="454"/>
      <c r="F129" s="454"/>
      <c r="G129" s="454"/>
      <c r="H129" s="454"/>
      <c r="I129" s="454"/>
      <c r="J129" s="454"/>
      <c r="K129" s="454"/>
      <c r="L129" s="454"/>
      <c r="M129" s="454"/>
      <c r="N129" s="454"/>
      <c r="O129" s="454"/>
      <c r="P129" s="454"/>
      <c r="Q129" s="454"/>
      <c r="R129" s="454"/>
      <c r="S129" s="454"/>
      <c r="T129" s="454"/>
      <c r="U129" s="454"/>
      <c r="V129" s="454"/>
      <c r="W129" s="454"/>
      <c r="X129" s="454"/>
      <c r="Y129" s="454"/>
      <c r="Z129" s="454"/>
      <c r="AA129" s="454"/>
      <c r="AB129" s="454"/>
    </row>
    <row r="130" spans="1:28" ht="15">
      <c r="A130" s="454"/>
      <c r="B130" s="454"/>
      <c r="C130" s="454"/>
      <c r="E130" s="454"/>
      <c r="F130" s="454"/>
      <c r="G130" s="454"/>
      <c r="H130" s="454"/>
      <c r="I130" s="454"/>
      <c r="J130" s="454"/>
      <c r="K130" s="454"/>
      <c r="L130" s="454"/>
      <c r="M130" s="454"/>
      <c r="N130" s="454"/>
      <c r="O130" s="454"/>
      <c r="P130" s="454"/>
      <c r="Q130" s="454"/>
      <c r="R130" s="454"/>
      <c r="S130" s="454"/>
      <c r="T130" s="454"/>
      <c r="U130" s="454"/>
      <c r="V130" s="454"/>
      <c r="W130" s="454"/>
      <c r="X130" s="454"/>
      <c r="Y130" s="454"/>
      <c r="Z130" s="454"/>
      <c r="AA130" s="454"/>
      <c r="AB130" s="454"/>
    </row>
    <row r="131" spans="1:28" ht="15">
      <c r="A131" s="454"/>
      <c r="B131" s="454"/>
      <c r="C131" s="454"/>
      <c r="E131" s="454"/>
      <c r="F131" s="454"/>
      <c r="G131" s="454"/>
      <c r="H131" s="454"/>
      <c r="I131" s="454"/>
      <c r="J131" s="454"/>
      <c r="K131" s="454"/>
      <c r="L131" s="454"/>
      <c r="M131" s="454"/>
      <c r="N131" s="454"/>
      <c r="O131" s="454"/>
      <c r="P131" s="454"/>
      <c r="Q131" s="454"/>
      <c r="R131" s="454"/>
      <c r="S131" s="454"/>
      <c r="T131" s="454"/>
      <c r="U131" s="454"/>
      <c r="V131" s="454"/>
      <c r="W131" s="454"/>
      <c r="X131" s="454"/>
      <c r="Y131" s="454"/>
      <c r="Z131" s="454"/>
      <c r="AA131" s="454"/>
      <c r="AB131" s="454"/>
    </row>
    <row r="132" spans="1:28" ht="15">
      <c r="A132" s="454"/>
      <c r="B132" s="454"/>
      <c r="C132" s="454"/>
      <c r="E132" s="454"/>
      <c r="F132" s="454"/>
      <c r="G132" s="454"/>
      <c r="H132" s="454"/>
      <c r="I132" s="454"/>
      <c r="J132" s="454"/>
      <c r="K132" s="454"/>
      <c r="L132" s="454"/>
      <c r="M132" s="454"/>
      <c r="N132" s="454"/>
      <c r="O132" s="454"/>
      <c r="P132" s="454"/>
      <c r="Q132" s="454"/>
      <c r="R132" s="454"/>
      <c r="S132" s="454"/>
      <c r="T132" s="454"/>
      <c r="U132" s="454"/>
      <c r="V132" s="454"/>
      <c r="W132" s="454"/>
      <c r="X132" s="454"/>
      <c r="Y132" s="454"/>
      <c r="Z132" s="454"/>
      <c r="AA132" s="454"/>
      <c r="AB132" s="454"/>
    </row>
    <row r="133" spans="1:28" ht="15">
      <c r="A133" s="454"/>
      <c r="B133" s="454"/>
      <c r="C133" s="454"/>
      <c r="E133" s="454"/>
      <c r="F133" s="454"/>
      <c r="G133" s="454"/>
      <c r="H133" s="454"/>
      <c r="I133" s="454"/>
      <c r="J133" s="454"/>
      <c r="K133" s="454"/>
      <c r="L133" s="454"/>
      <c r="M133" s="454"/>
      <c r="N133" s="454"/>
      <c r="O133" s="454"/>
      <c r="P133" s="454"/>
      <c r="Q133" s="454"/>
      <c r="R133" s="454"/>
      <c r="S133" s="454"/>
      <c r="T133" s="454"/>
      <c r="U133" s="454"/>
      <c r="V133" s="454"/>
      <c r="W133" s="454"/>
      <c r="X133" s="454"/>
      <c r="Y133" s="454"/>
      <c r="Z133" s="454"/>
      <c r="AA133" s="454"/>
      <c r="AB133" s="454"/>
    </row>
    <row r="134" spans="1:28" ht="15">
      <c r="A134" s="454"/>
      <c r="B134" s="454"/>
      <c r="C134" s="454"/>
      <c r="E134" s="454"/>
      <c r="F134" s="454"/>
      <c r="G134" s="454"/>
      <c r="H134" s="454"/>
      <c r="I134" s="454"/>
      <c r="J134" s="454"/>
      <c r="K134" s="454"/>
      <c r="L134" s="454"/>
      <c r="M134" s="454"/>
      <c r="N134" s="454"/>
      <c r="O134" s="454"/>
      <c r="P134" s="454"/>
      <c r="Q134" s="454"/>
      <c r="R134" s="454"/>
      <c r="S134" s="454"/>
      <c r="T134" s="454"/>
      <c r="U134" s="454"/>
      <c r="V134" s="454"/>
      <c r="W134" s="454"/>
      <c r="X134" s="454"/>
      <c r="Y134" s="454"/>
      <c r="Z134" s="454"/>
      <c r="AA134" s="454"/>
      <c r="AB134" s="454"/>
    </row>
    <row r="135" spans="1:28" ht="15">
      <c r="A135" s="454"/>
      <c r="B135" s="454"/>
      <c r="C135" s="454"/>
      <c r="E135" s="454"/>
      <c r="F135" s="454"/>
      <c r="G135" s="454"/>
      <c r="H135" s="454"/>
      <c r="I135" s="454"/>
      <c r="J135" s="454"/>
      <c r="K135" s="454"/>
      <c r="L135" s="454"/>
      <c r="M135" s="454"/>
      <c r="N135" s="454"/>
      <c r="O135" s="454"/>
      <c r="P135" s="454"/>
      <c r="Q135" s="454"/>
      <c r="R135" s="454"/>
      <c r="S135" s="454"/>
      <c r="T135" s="454"/>
      <c r="U135" s="454"/>
      <c r="V135" s="454"/>
      <c r="W135" s="454"/>
      <c r="X135" s="454"/>
      <c r="Y135" s="454"/>
      <c r="Z135" s="454"/>
      <c r="AA135" s="454"/>
      <c r="AB135" s="454"/>
    </row>
    <row r="136" spans="1:28" ht="15">
      <c r="A136" s="454"/>
      <c r="B136" s="454"/>
      <c r="C136" s="454"/>
      <c r="E136" s="454"/>
      <c r="F136" s="454"/>
      <c r="G136" s="454"/>
      <c r="H136" s="454"/>
      <c r="I136" s="454"/>
      <c r="J136" s="454"/>
      <c r="K136" s="454"/>
      <c r="L136" s="454"/>
      <c r="M136" s="454"/>
      <c r="N136" s="454"/>
      <c r="O136" s="454"/>
      <c r="P136" s="454"/>
      <c r="Q136" s="454"/>
      <c r="R136" s="454"/>
      <c r="S136" s="454"/>
      <c r="T136" s="454"/>
      <c r="U136" s="454"/>
      <c r="V136" s="454"/>
      <c r="W136" s="454"/>
      <c r="X136" s="454"/>
      <c r="Y136" s="454"/>
      <c r="Z136" s="454"/>
      <c r="AA136" s="454"/>
      <c r="AB136" s="454"/>
    </row>
    <row r="137" spans="1:28" ht="15">
      <c r="A137" s="454"/>
      <c r="B137" s="454"/>
      <c r="C137" s="454"/>
      <c r="E137" s="454"/>
      <c r="F137" s="454"/>
      <c r="G137" s="454"/>
      <c r="H137" s="454"/>
      <c r="I137" s="454"/>
      <c r="J137" s="454"/>
      <c r="K137" s="454"/>
      <c r="L137" s="454"/>
      <c r="M137" s="454"/>
      <c r="N137" s="454"/>
      <c r="O137" s="454"/>
      <c r="P137" s="454"/>
      <c r="Q137" s="454"/>
      <c r="R137" s="454"/>
      <c r="S137" s="454"/>
      <c r="T137" s="454"/>
      <c r="U137" s="454"/>
      <c r="V137" s="454"/>
      <c r="W137" s="454"/>
      <c r="X137" s="454"/>
      <c r="Y137" s="454"/>
      <c r="Z137" s="454"/>
      <c r="AA137" s="454"/>
      <c r="AB137" s="454"/>
    </row>
    <row r="138" spans="1:28" ht="15">
      <c r="A138" s="454"/>
      <c r="B138" s="454"/>
      <c r="C138" s="454"/>
      <c r="E138" s="454"/>
      <c r="F138" s="454"/>
      <c r="G138" s="454"/>
      <c r="H138" s="454"/>
      <c r="I138" s="454"/>
      <c r="J138" s="454"/>
      <c r="K138" s="454"/>
      <c r="L138" s="454"/>
      <c r="M138" s="454"/>
      <c r="N138" s="454"/>
      <c r="O138" s="454"/>
      <c r="P138" s="454"/>
      <c r="Q138" s="454"/>
      <c r="R138" s="454"/>
      <c r="S138" s="454"/>
      <c r="T138" s="454"/>
      <c r="U138" s="454"/>
      <c r="V138" s="454"/>
      <c r="W138" s="454"/>
      <c r="X138" s="454"/>
      <c r="Y138" s="454"/>
      <c r="Z138" s="454"/>
      <c r="AA138" s="454"/>
      <c r="AB138" s="454"/>
    </row>
    <row r="139" spans="1:28" ht="15">
      <c r="A139" s="454"/>
      <c r="B139" s="454"/>
      <c r="C139" s="454"/>
      <c r="E139" s="454"/>
      <c r="F139" s="454"/>
      <c r="G139" s="454"/>
      <c r="H139" s="454"/>
      <c r="I139" s="454"/>
      <c r="J139" s="454"/>
      <c r="K139" s="454"/>
      <c r="L139" s="454"/>
      <c r="M139" s="454"/>
      <c r="N139" s="454"/>
      <c r="O139" s="454"/>
      <c r="P139" s="454"/>
      <c r="Q139" s="454"/>
      <c r="R139" s="454"/>
      <c r="S139" s="454"/>
      <c r="T139" s="454"/>
      <c r="U139" s="454"/>
      <c r="V139" s="454"/>
      <c r="W139" s="454"/>
      <c r="X139" s="454"/>
      <c r="Y139" s="454"/>
      <c r="Z139" s="454"/>
      <c r="AA139" s="454"/>
      <c r="AB139" s="454"/>
    </row>
    <row r="140" spans="1:28" ht="15">
      <c r="A140" s="454"/>
      <c r="B140" s="454"/>
      <c r="C140" s="454"/>
      <c r="E140" s="454"/>
      <c r="F140" s="454"/>
      <c r="G140" s="454"/>
      <c r="H140" s="454"/>
      <c r="I140" s="454"/>
      <c r="J140" s="454"/>
      <c r="K140" s="454"/>
      <c r="L140" s="454"/>
      <c r="M140" s="454"/>
      <c r="N140" s="454"/>
      <c r="O140" s="454"/>
      <c r="P140" s="454"/>
      <c r="Q140" s="454"/>
      <c r="R140" s="454"/>
      <c r="S140" s="454"/>
      <c r="T140" s="454"/>
      <c r="U140" s="454"/>
      <c r="V140" s="454"/>
      <c r="W140" s="454"/>
      <c r="X140" s="454"/>
      <c r="Y140" s="454"/>
      <c r="Z140" s="454"/>
      <c r="AA140" s="454"/>
      <c r="AB140" s="454"/>
    </row>
    <row r="141" spans="1:28" ht="15">
      <c r="A141" s="454"/>
      <c r="B141" s="454"/>
      <c r="C141" s="454"/>
      <c r="E141" s="454"/>
      <c r="F141" s="454"/>
      <c r="G141" s="454"/>
      <c r="H141" s="454"/>
      <c r="I141" s="454"/>
      <c r="J141" s="454"/>
      <c r="K141" s="454"/>
      <c r="L141" s="454"/>
      <c r="M141" s="454"/>
      <c r="N141" s="454"/>
      <c r="O141" s="454"/>
      <c r="P141" s="454"/>
      <c r="Q141" s="454"/>
      <c r="R141" s="454"/>
      <c r="S141" s="454"/>
      <c r="T141" s="454"/>
      <c r="U141" s="454"/>
      <c r="V141" s="454"/>
      <c r="W141" s="454"/>
      <c r="X141" s="454"/>
      <c r="Y141" s="454"/>
      <c r="Z141" s="454"/>
      <c r="AA141" s="454"/>
      <c r="AB141" s="454"/>
    </row>
    <row r="142" spans="1:28" ht="15">
      <c r="A142" s="454"/>
      <c r="B142" s="454"/>
      <c r="C142" s="454"/>
      <c r="E142" s="454"/>
      <c r="F142" s="454"/>
      <c r="G142" s="454"/>
      <c r="H142" s="454"/>
      <c r="I142" s="454"/>
      <c r="J142" s="454"/>
      <c r="K142" s="454"/>
      <c r="L142" s="454"/>
      <c r="M142" s="454"/>
      <c r="N142" s="454"/>
      <c r="O142" s="454"/>
      <c r="P142" s="454"/>
      <c r="Q142" s="454"/>
      <c r="R142" s="454"/>
      <c r="S142" s="454"/>
      <c r="T142" s="454"/>
      <c r="U142" s="454"/>
      <c r="V142" s="454"/>
      <c r="W142" s="454"/>
      <c r="X142" s="454"/>
      <c r="Y142" s="454"/>
      <c r="Z142" s="454"/>
      <c r="AA142" s="454"/>
      <c r="AB142" s="454"/>
    </row>
    <row r="143" spans="1:28" ht="15">
      <c r="A143" s="454"/>
      <c r="B143" s="454"/>
      <c r="C143" s="454"/>
      <c r="E143" s="454"/>
      <c r="F143" s="454"/>
      <c r="G143" s="454"/>
      <c r="H143" s="454"/>
      <c r="I143" s="454"/>
      <c r="J143" s="454"/>
      <c r="K143" s="454"/>
      <c r="L143" s="454"/>
      <c r="M143" s="454"/>
      <c r="N143" s="454"/>
      <c r="O143" s="454"/>
      <c r="P143" s="454"/>
      <c r="Q143" s="454"/>
      <c r="R143" s="454"/>
      <c r="S143" s="454"/>
      <c r="T143" s="454"/>
      <c r="U143" s="454"/>
      <c r="V143" s="454"/>
      <c r="W143" s="454"/>
      <c r="X143" s="454"/>
      <c r="Y143" s="454"/>
      <c r="Z143" s="454"/>
      <c r="AA143" s="454"/>
      <c r="AB143" s="454"/>
    </row>
    <row r="144" spans="1:28" ht="15">
      <c r="A144" s="454"/>
      <c r="B144" s="454"/>
      <c r="C144" s="454"/>
      <c r="E144" s="454"/>
      <c r="F144" s="454"/>
      <c r="G144" s="454"/>
      <c r="H144" s="454"/>
      <c r="I144" s="454"/>
      <c r="J144" s="454"/>
      <c r="K144" s="454"/>
      <c r="L144" s="454"/>
      <c r="M144" s="454"/>
      <c r="N144" s="454"/>
      <c r="O144" s="454"/>
      <c r="P144" s="454"/>
      <c r="Q144" s="454"/>
      <c r="R144" s="454"/>
      <c r="S144" s="454"/>
      <c r="T144" s="454"/>
      <c r="U144" s="454"/>
      <c r="V144" s="454"/>
      <c r="W144" s="454"/>
      <c r="X144" s="454"/>
      <c r="Y144" s="454"/>
      <c r="Z144" s="454"/>
      <c r="AA144" s="454"/>
      <c r="AB144" s="454"/>
    </row>
    <row r="145" spans="1:28" ht="15">
      <c r="A145" s="454"/>
      <c r="B145" s="454"/>
      <c r="C145" s="454"/>
      <c r="E145" s="454"/>
      <c r="F145" s="454"/>
      <c r="G145" s="454"/>
      <c r="H145" s="454"/>
      <c r="I145" s="454"/>
      <c r="J145" s="454"/>
      <c r="K145" s="454"/>
      <c r="L145" s="454"/>
      <c r="M145" s="454"/>
      <c r="N145" s="454"/>
      <c r="O145" s="454"/>
      <c r="P145" s="454"/>
      <c r="Q145" s="454"/>
      <c r="R145" s="454"/>
      <c r="S145" s="454"/>
      <c r="T145" s="454"/>
      <c r="U145" s="454"/>
      <c r="V145" s="454"/>
      <c r="W145" s="454"/>
      <c r="X145" s="454"/>
      <c r="Y145" s="454"/>
      <c r="Z145" s="454"/>
      <c r="AA145" s="454"/>
      <c r="AB145" s="454"/>
    </row>
    <row r="146" spans="1:28" ht="15">
      <c r="A146" s="454"/>
      <c r="B146" s="454"/>
      <c r="C146" s="454"/>
      <c r="E146" s="454"/>
      <c r="F146" s="454"/>
      <c r="G146" s="454"/>
      <c r="H146" s="454"/>
      <c r="I146" s="454"/>
      <c r="J146" s="454"/>
      <c r="K146" s="454"/>
      <c r="L146" s="454"/>
      <c r="M146" s="454"/>
      <c r="N146" s="454"/>
      <c r="O146" s="454"/>
      <c r="P146" s="454"/>
      <c r="Q146" s="454"/>
      <c r="R146" s="454"/>
      <c r="S146" s="454"/>
      <c r="T146" s="454"/>
      <c r="U146" s="454"/>
      <c r="V146" s="454"/>
      <c r="W146" s="454"/>
      <c r="X146" s="454"/>
      <c r="Y146" s="454"/>
      <c r="Z146" s="454"/>
      <c r="AA146" s="454"/>
      <c r="AB146" s="454"/>
    </row>
    <row r="147" spans="1:28" ht="15">
      <c r="A147" s="454"/>
      <c r="B147" s="454"/>
      <c r="C147" s="454"/>
      <c r="E147" s="454"/>
      <c r="F147" s="454"/>
      <c r="G147" s="454"/>
      <c r="H147" s="454"/>
      <c r="I147" s="454"/>
      <c r="J147" s="454"/>
      <c r="K147" s="454"/>
      <c r="L147" s="454"/>
      <c r="M147" s="454"/>
      <c r="N147" s="454"/>
      <c r="O147" s="454"/>
      <c r="P147" s="454"/>
      <c r="Q147" s="454"/>
      <c r="R147" s="454"/>
      <c r="S147" s="454"/>
      <c r="T147" s="454"/>
      <c r="U147" s="454"/>
      <c r="V147" s="454"/>
      <c r="W147" s="454"/>
      <c r="X147" s="454"/>
      <c r="Y147" s="454"/>
      <c r="Z147" s="454"/>
      <c r="AA147" s="454"/>
      <c r="AB147" s="454"/>
    </row>
    <row r="148" spans="1:28" ht="15">
      <c r="A148" s="454"/>
      <c r="B148" s="454"/>
      <c r="C148" s="454"/>
      <c r="E148" s="454"/>
      <c r="F148" s="454"/>
      <c r="G148" s="454"/>
      <c r="H148" s="454"/>
      <c r="I148" s="454"/>
      <c r="J148" s="454"/>
      <c r="K148" s="454"/>
      <c r="L148" s="454"/>
      <c r="M148" s="454"/>
      <c r="N148" s="454"/>
      <c r="O148" s="454"/>
      <c r="P148" s="454"/>
      <c r="Q148" s="454"/>
      <c r="R148" s="454"/>
      <c r="S148" s="454"/>
      <c r="T148" s="454"/>
      <c r="U148" s="454"/>
      <c r="V148" s="454"/>
      <c r="W148" s="454"/>
      <c r="X148" s="454"/>
      <c r="Y148" s="454"/>
      <c r="Z148" s="454"/>
      <c r="AA148" s="454"/>
      <c r="AB148" s="454"/>
    </row>
    <row r="149" spans="1:28" ht="15">
      <c r="A149" s="454"/>
      <c r="B149" s="454"/>
      <c r="C149" s="454"/>
      <c r="E149" s="454"/>
      <c r="F149" s="454"/>
      <c r="G149" s="454"/>
      <c r="H149" s="454"/>
      <c r="I149" s="454"/>
      <c r="J149" s="454"/>
      <c r="K149" s="454"/>
      <c r="L149" s="454"/>
      <c r="M149" s="454"/>
      <c r="N149" s="454"/>
      <c r="O149" s="454"/>
      <c r="P149" s="454"/>
      <c r="Q149" s="454"/>
      <c r="R149" s="454"/>
      <c r="S149" s="454"/>
      <c r="T149" s="454"/>
      <c r="U149" s="454"/>
      <c r="V149" s="454"/>
      <c r="W149" s="454"/>
      <c r="X149" s="454"/>
      <c r="Y149" s="454"/>
      <c r="Z149" s="454"/>
      <c r="AA149" s="454"/>
      <c r="AB149" s="454"/>
    </row>
    <row r="150" spans="1:28" ht="15">
      <c r="A150" s="454"/>
      <c r="B150" s="454"/>
      <c r="C150" s="454"/>
      <c r="E150" s="454"/>
      <c r="F150" s="454"/>
      <c r="G150" s="454"/>
      <c r="H150" s="454"/>
      <c r="I150" s="454"/>
      <c r="J150" s="454"/>
      <c r="K150" s="454"/>
      <c r="L150" s="454"/>
      <c r="M150" s="454"/>
      <c r="N150" s="454"/>
      <c r="O150" s="454"/>
      <c r="P150" s="454"/>
      <c r="Q150" s="454"/>
      <c r="R150" s="454"/>
      <c r="S150" s="454"/>
      <c r="T150" s="454"/>
      <c r="U150" s="454"/>
      <c r="V150" s="454"/>
      <c r="W150" s="454"/>
      <c r="X150" s="454"/>
      <c r="Y150" s="454"/>
      <c r="Z150" s="454"/>
      <c r="AA150" s="454"/>
      <c r="AB150" s="454"/>
    </row>
    <row r="151" spans="1:28" ht="15">
      <c r="A151" s="454"/>
      <c r="B151" s="454"/>
      <c r="C151" s="454"/>
      <c r="E151" s="454"/>
      <c r="F151" s="454"/>
      <c r="G151" s="454"/>
      <c r="H151" s="454"/>
      <c r="I151" s="454"/>
      <c r="J151" s="454"/>
      <c r="K151" s="454"/>
      <c r="L151" s="454"/>
      <c r="M151" s="454"/>
      <c r="N151" s="454"/>
      <c r="O151" s="454"/>
      <c r="P151" s="454"/>
      <c r="Q151" s="454"/>
      <c r="R151" s="454"/>
      <c r="S151" s="454"/>
      <c r="T151" s="454"/>
      <c r="U151" s="454"/>
      <c r="V151" s="454"/>
      <c r="W151" s="454"/>
      <c r="X151" s="454"/>
      <c r="Y151" s="454"/>
      <c r="Z151" s="454"/>
      <c r="AA151" s="454"/>
      <c r="AB151" s="454"/>
    </row>
    <row r="152" spans="1:28" ht="15">
      <c r="A152" s="454"/>
      <c r="B152" s="454"/>
      <c r="C152" s="454"/>
      <c r="E152" s="454"/>
      <c r="F152" s="454"/>
      <c r="G152" s="454"/>
      <c r="H152" s="454"/>
      <c r="I152" s="454"/>
      <c r="J152" s="454"/>
      <c r="K152" s="454"/>
      <c r="L152" s="454"/>
      <c r="M152" s="454"/>
      <c r="N152" s="454"/>
      <c r="O152" s="454"/>
      <c r="P152" s="454"/>
      <c r="Q152" s="454"/>
      <c r="R152" s="454"/>
      <c r="S152" s="454"/>
      <c r="T152" s="454"/>
      <c r="U152" s="454"/>
      <c r="V152" s="454"/>
      <c r="W152" s="454"/>
      <c r="X152" s="454"/>
      <c r="Y152" s="454"/>
      <c r="Z152" s="454"/>
      <c r="AA152" s="454"/>
      <c r="AB152" s="454"/>
    </row>
    <row r="153" spans="1:28" ht="15">
      <c r="A153" s="454"/>
      <c r="B153" s="454"/>
      <c r="C153" s="454"/>
      <c r="E153" s="454"/>
      <c r="F153" s="454"/>
      <c r="G153" s="454"/>
      <c r="H153" s="454"/>
      <c r="I153" s="454"/>
      <c r="J153" s="454"/>
      <c r="K153" s="454"/>
      <c r="L153" s="454"/>
      <c r="M153" s="454"/>
      <c r="N153" s="454"/>
      <c r="O153" s="454"/>
      <c r="P153" s="454"/>
      <c r="Q153" s="454"/>
      <c r="R153" s="454"/>
      <c r="S153" s="454"/>
      <c r="T153" s="454"/>
      <c r="U153" s="454"/>
      <c r="V153" s="454"/>
      <c r="W153" s="454"/>
      <c r="X153" s="454"/>
      <c r="Y153" s="454"/>
      <c r="Z153" s="454"/>
      <c r="AA153" s="454"/>
      <c r="AB153" s="454"/>
    </row>
    <row r="154" spans="1:28" ht="15">
      <c r="A154" s="454"/>
      <c r="B154" s="454"/>
      <c r="C154" s="454"/>
      <c r="E154" s="454"/>
      <c r="F154" s="454"/>
      <c r="G154" s="454"/>
      <c r="H154" s="454"/>
      <c r="I154" s="454"/>
      <c r="J154" s="454"/>
      <c r="K154" s="454"/>
      <c r="L154" s="454"/>
      <c r="M154" s="454"/>
      <c r="N154" s="454"/>
      <c r="O154" s="454"/>
      <c r="P154" s="454"/>
      <c r="Q154" s="454"/>
      <c r="R154" s="454"/>
      <c r="S154" s="454"/>
      <c r="T154" s="454"/>
      <c r="U154" s="454"/>
      <c r="V154" s="454"/>
      <c r="W154" s="454"/>
      <c r="X154" s="454"/>
      <c r="Y154" s="454"/>
      <c r="Z154" s="454"/>
      <c r="AA154" s="454"/>
      <c r="AB154" s="454"/>
    </row>
    <row r="155" spans="1:28" ht="15">
      <c r="A155" s="454"/>
      <c r="B155" s="454"/>
      <c r="C155" s="454"/>
      <c r="E155" s="454"/>
      <c r="F155" s="454"/>
      <c r="G155" s="454"/>
      <c r="H155" s="454"/>
      <c r="I155" s="454"/>
      <c r="J155" s="454"/>
      <c r="K155" s="454"/>
      <c r="L155" s="454"/>
      <c r="M155" s="454"/>
      <c r="N155" s="454"/>
      <c r="O155" s="454"/>
      <c r="P155" s="454"/>
      <c r="Q155" s="454"/>
      <c r="R155" s="454"/>
      <c r="S155" s="454"/>
      <c r="T155" s="454"/>
      <c r="U155" s="454"/>
      <c r="V155" s="454"/>
      <c r="W155" s="454"/>
      <c r="X155" s="454"/>
      <c r="Y155" s="454"/>
      <c r="Z155" s="454"/>
      <c r="AA155" s="454"/>
      <c r="AB155" s="454"/>
    </row>
    <row r="156" spans="1:28" ht="15">
      <c r="A156" s="454"/>
      <c r="B156" s="454"/>
      <c r="C156" s="454"/>
      <c r="E156" s="454"/>
      <c r="F156" s="454"/>
      <c r="G156" s="454"/>
      <c r="H156" s="454"/>
      <c r="I156" s="454"/>
      <c r="J156" s="454"/>
      <c r="K156" s="454"/>
      <c r="L156" s="454"/>
      <c r="M156" s="454"/>
      <c r="N156" s="454"/>
      <c r="O156" s="454"/>
      <c r="P156" s="454"/>
      <c r="Q156" s="454"/>
      <c r="R156" s="454"/>
      <c r="S156" s="454"/>
      <c r="T156" s="454"/>
      <c r="U156" s="454"/>
      <c r="V156" s="454"/>
      <c r="W156" s="454"/>
      <c r="X156" s="454"/>
      <c r="Y156" s="454"/>
      <c r="Z156" s="454"/>
      <c r="AA156" s="454"/>
      <c r="AB156" s="454"/>
    </row>
    <row r="157" spans="1:28" ht="15">
      <c r="A157" s="454"/>
      <c r="B157" s="454"/>
      <c r="C157" s="454"/>
      <c r="E157" s="454"/>
      <c r="F157" s="454"/>
      <c r="G157" s="454"/>
      <c r="H157" s="454"/>
      <c r="I157" s="454"/>
      <c r="J157" s="454"/>
      <c r="K157" s="454"/>
      <c r="L157" s="454"/>
      <c r="M157" s="454"/>
      <c r="N157" s="454"/>
      <c r="O157" s="454"/>
      <c r="P157" s="454"/>
      <c r="Q157" s="454"/>
      <c r="R157" s="454"/>
      <c r="S157" s="454"/>
      <c r="T157" s="454"/>
      <c r="U157" s="454"/>
      <c r="V157" s="454"/>
      <c r="W157" s="454"/>
      <c r="X157" s="454"/>
      <c r="Y157" s="454"/>
      <c r="Z157" s="454"/>
      <c r="AA157" s="454"/>
      <c r="AB157" s="454"/>
    </row>
    <row r="158" spans="1:28" ht="15">
      <c r="A158" s="454"/>
      <c r="B158" s="454"/>
      <c r="C158" s="454"/>
      <c r="E158" s="454"/>
      <c r="F158" s="454"/>
      <c r="G158" s="454"/>
      <c r="H158" s="454"/>
      <c r="I158" s="454"/>
      <c r="J158" s="454"/>
      <c r="K158" s="454"/>
      <c r="L158" s="454"/>
      <c r="M158" s="454"/>
      <c r="N158" s="454"/>
      <c r="O158" s="454"/>
      <c r="P158" s="454"/>
      <c r="Q158" s="454"/>
      <c r="R158" s="454"/>
      <c r="S158" s="454"/>
      <c r="T158" s="454"/>
      <c r="U158" s="454"/>
      <c r="V158" s="454"/>
      <c r="W158" s="454"/>
      <c r="X158" s="454"/>
      <c r="Y158" s="454"/>
      <c r="Z158" s="454"/>
      <c r="AA158" s="454"/>
      <c r="AB158" s="454"/>
    </row>
    <row r="159" spans="1:28" ht="15">
      <c r="A159" s="454"/>
      <c r="B159" s="454"/>
      <c r="C159" s="454"/>
      <c r="E159" s="454"/>
      <c r="F159" s="454"/>
      <c r="G159" s="454"/>
      <c r="H159" s="454"/>
      <c r="I159" s="454"/>
      <c r="J159" s="454"/>
      <c r="K159" s="454"/>
      <c r="L159" s="454"/>
      <c r="M159" s="454"/>
      <c r="N159" s="454"/>
      <c r="O159" s="454"/>
      <c r="P159" s="454"/>
      <c r="Q159" s="454"/>
      <c r="R159" s="454"/>
      <c r="S159" s="454"/>
      <c r="T159" s="454"/>
      <c r="U159" s="454"/>
      <c r="V159" s="454"/>
      <c r="W159" s="454"/>
      <c r="X159" s="454"/>
      <c r="Y159" s="454"/>
      <c r="Z159" s="454"/>
      <c r="AA159" s="454"/>
      <c r="AB159" s="454"/>
    </row>
    <row r="160" spans="1:28" ht="15">
      <c r="A160" s="454"/>
      <c r="B160" s="454"/>
      <c r="C160" s="454"/>
      <c r="E160" s="454"/>
      <c r="F160" s="454"/>
      <c r="G160" s="454"/>
      <c r="H160" s="454"/>
      <c r="I160" s="454"/>
      <c r="J160" s="454"/>
      <c r="K160" s="454"/>
      <c r="L160" s="454"/>
      <c r="M160" s="454"/>
      <c r="N160" s="454"/>
      <c r="O160" s="454"/>
      <c r="P160" s="454"/>
      <c r="Q160" s="454"/>
      <c r="R160" s="454"/>
      <c r="S160" s="454"/>
      <c r="T160" s="454"/>
      <c r="U160" s="454"/>
      <c r="V160" s="454"/>
      <c r="W160" s="454"/>
      <c r="X160" s="454"/>
      <c r="Y160" s="454"/>
      <c r="Z160" s="454"/>
      <c r="AA160" s="454"/>
      <c r="AB160" s="454"/>
    </row>
    <row r="161" spans="1:28" ht="15">
      <c r="A161" s="454"/>
      <c r="B161" s="454"/>
      <c r="C161" s="454"/>
      <c r="E161" s="454"/>
      <c r="F161" s="454"/>
      <c r="G161" s="454"/>
      <c r="H161" s="454"/>
      <c r="I161" s="454"/>
      <c r="J161" s="454"/>
      <c r="K161" s="454"/>
      <c r="L161" s="454"/>
      <c r="M161" s="454"/>
      <c r="N161" s="454"/>
      <c r="O161" s="454"/>
      <c r="P161" s="454"/>
      <c r="Q161" s="454"/>
      <c r="R161" s="454"/>
      <c r="S161" s="454"/>
      <c r="T161" s="454"/>
      <c r="U161" s="454"/>
      <c r="V161" s="454"/>
      <c r="W161" s="454"/>
      <c r="X161" s="454"/>
      <c r="Y161" s="454"/>
      <c r="Z161" s="454"/>
      <c r="AA161" s="454"/>
      <c r="AB161" s="454"/>
    </row>
    <row r="162" spans="1:28" ht="15">
      <c r="A162" s="454"/>
      <c r="B162" s="454"/>
      <c r="C162" s="454"/>
      <c r="E162" s="454"/>
      <c r="F162" s="454"/>
      <c r="G162" s="454"/>
      <c r="H162" s="454"/>
      <c r="I162" s="454"/>
      <c r="J162" s="454"/>
      <c r="K162" s="454"/>
      <c r="L162" s="454"/>
      <c r="M162" s="454"/>
      <c r="N162" s="454"/>
      <c r="O162" s="454"/>
      <c r="P162" s="454"/>
      <c r="Q162" s="454"/>
      <c r="R162" s="454"/>
      <c r="S162" s="454"/>
      <c r="T162" s="454"/>
      <c r="U162" s="454"/>
      <c r="V162" s="454"/>
      <c r="W162" s="454"/>
      <c r="X162" s="454"/>
      <c r="Y162" s="454"/>
      <c r="Z162" s="454"/>
      <c r="AA162" s="454"/>
      <c r="AB162" s="454"/>
    </row>
    <row r="163" spans="1:28" ht="15">
      <c r="A163" s="454"/>
      <c r="B163" s="454"/>
      <c r="C163" s="454"/>
      <c r="E163" s="454"/>
      <c r="F163" s="454"/>
      <c r="G163" s="454"/>
      <c r="H163" s="454"/>
      <c r="I163" s="454"/>
      <c r="J163" s="454"/>
      <c r="K163" s="454"/>
      <c r="L163" s="454"/>
      <c r="M163" s="454"/>
      <c r="N163" s="454"/>
      <c r="O163" s="454"/>
      <c r="P163" s="454"/>
      <c r="Q163" s="454"/>
      <c r="R163" s="454"/>
      <c r="S163" s="454"/>
      <c r="T163" s="454"/>
      <c r="U163" s="454"/>
      <c r="V163" s="454"/>
      <c r="W163" s="454"/>
      <c r="X163" s="454"/>
      <c r="Y163" s="454"/>
      <c r="Z163" s="454"/>
      <c r="AA163" s="454"/>
      <c r="AB163" s="454"/>
    </row>
    <row r="164" spans="1:28" ht="15">
      <c r="A164" s="454"/>
      <c r="B164" s="454"/>
      <c r="C164" s="454"/>
      <c r="E164" s="454"/>
      <c r="F164" s="454"/>
      <c r="G164" s="454"/>
      <c r="H164" s="454"/>
      <c r="I164" s="454"/>
      <c r="J164" s="454"/>
      <c r="K164" s="454"/>
      <c r="L164" s="454"/>
      <c r="M164" s="454"/>
      <c r="N164" s="454"/>
      <c r="O164" s="454"/>
      <c r="P164" s="454"/>
      <c r="Q164" s="454"/>
      <c r="R164" s="454"/>
      <c r="S164" s="454"/>
      <c r="T164" s="454"/>
      <c r="U164" s="454"/>
      <c r="V164" s="454"/>
      <c r="W164" s="454"/>
      <c r="X164" s="454"/>
      <c r="Y164" s="454"/>
      <c r="Z164" s="454"/>
      <c r="AA164" s="454"/>
      <c r="AB164" s="454"/>
    </row>
    <row r="165" spans="1:28" ht="15">
      <c r="A165" s="454"/>
      <c r="B165" s="454"/>
      <c r="C165" s="454"/>
      <c r="E165" s="454"/>
      <c r="F165" s="454"/>
      <c r="G165" s="454"/>
      <c r="H165" s="454"/>
      <c r="I165" s="454"/>
      <c r="J165" s="454"/>
      <c r="K165" s="454"/>
      <c r="L165" s="454"/>
      <c r="M165" s="454"/>
      <c r="N165" s="454"/>
      <c r="O165" s="454"/>
      <c r="P165" s="454"/>
      <c r="Q165" s="454"/>
      <c r="R165" s="454"/>
      <c r="S165" s="454"/>
      <c r="T165" s="454"/>
      <c r="U165" s="454"/>
      <c r="V165" s="454"/>
      <c r="W165" s="454"/>
      <c r="X165" s="454"/>
      <c r="Y165" s="454"/>
      <c r="Z165" s="454"/>
      <c r="AA165" s="454"/>
      <c r="AB165" s="454"/>
    </row>
    <row r="166" spans="1:28" ht="15">
      <c r="A166" s="454"/>
      <c r="B166" s="454"/>
      <c r="C166" s="454"/>
      <c r="E166" s="454"/>
      <c r="F166" s="454"/>
      <c r="G166" s="454"/>
      <c r="H166" s="454"/>
      <c r="I166" s="454"/>
      <c r="J166" s="454"/>
      <c r="K166" s="454"/>
      <c r="L166" s="454"/>
      <c r="M166" s="454"/>
      <c r="N166" s="454"/>
      <c r="O166" s="454"/>
      <c r="P166" s="454"/>
      <c r="Q166" s="454"/>
      <c r="R166" s="454"/>
      <c r="S166" s="454"/>
      <c r="T166" s="454"/>
      <c r="U166" s="454"/>
      <c r="V166" s="454"/>
      <c r="W166" s="454"/>
      <c r="X166" s="454"/>
      <c r="Y166" s="454"/>
      <c r="Z166" s="454"/>
      <c r="AA166" s="454"/>
      <c r="AB166" s="454"/>
    </row>
    <row r="167" spans="1:28" ht="15">
      <c r="A167" s="454"/>
      <c r="B167" s="454"/>
      <c r="C167" s="454"/>
      <c r="E167" s="454"/>
      <c r="F167" s="454"/>
      <c r="G167" s="454"/>
      <c r="H167" s="454"/>
      <c r="I167" s="454"/>
      <c r="J167" s="454"/>
      <c r="K167" s="454"/>
      <c r="L167" s="454"/>
      <c r="M167" s="454"/>
      <c r="N167" s="454"/>
      <c r="O167" s="454"/>
      <c r="P167" s="454"/>
      <c r="Q167" s="454"/>
      <c r="R167" s="454"/>
      <c r="S167" s="454"/>
      <c r="T167" s="454"/>
      <c r="U167" s="454"/>
      <c r="V167" s="454"/>
      <c r="W167" s="454"/>
      <c r="X167" s="454"/>
      <c r="Y167" s="454"/>
      <c r="Z167" s="454"/>
      <c r="AA167" s="454"/>
      <c r="AB167" s="454"/>
    </row>
    <row r="168" spans="1:28" ht="15">
      <c r="A168" s="454"/>
      <c r="B168" s="454"/>
      <c r="C168" s="454"/>
      <c r="E168" s="454"/>
      <c r="F168" s="454"/>
      <c r="G168" s="454"/>
      <c r="H168" s="454"/>
      <c r="I168" s="454"/>
      <c r="J168" s="454"/>
      <c r="K168" s="454"/>
      <c r="L168" s="454"/>
      <c r="M168" s="454"/>
      <c r="N168" s="454"/>
      <c r="O168" s="454"/>
      <c r="P168" s="454"/>
      <c r="Q168" s="454"/>
      <c r="R168" s="454"/>
      <c r="S168" s="454"/>
      <c r="T168" s="454"/>
      <c r="U168" s="454"/>
      <c r="V168" s="454"/>
      <c r="W168" s="454"/>
      <c r="X168" s="454"/>
      <c r="Y168" s="454"/>
      <c r="Z168" s="454"/>
      <c r="AA168" s="454"/>
      <c r="AB168" s="454"/>
    </row>
    <row r="169" spans="1:28" ht="15">
      <c r="A169" s="454"/>
      <c r="B169" s="454"/>
      <c r="C169" s="454"/>
      <c r="E169" s="454"/>
      <c r="F169" s="454"/>
      <c r="G169" s="454"/>
      <c r="H169" s="454"/>
      <c r="I169" s="454"/>
      <c r="J169" s="454"/>
      <c r="K169" s="454"/>
      <c r="L169" s="454"/>
      <c r="M169" s="454"/>
      <c r="N169" s="454"/>
      <c r="O169" s="454"/>
      <c r="P169" s="454"/>
      <c r="Q169" s="454"/>
      <c r="R169" s="454"/>
      <c r="S169" s="454"/>
      <c r="T169" s="454"/>
      <c r="U169" s="454"/>
      <c r="V169" s="454"/>
      <c r="W169" s="454"/>
      <c r="X169" s="454"/>
      <c r="Y169" s="454"/>
      <c r="Z169" s="454"/>
      <c r="AA169" s="454"/>
      <c r="AB169" s="454"/>
    </row>
    <row r="170" spans="1:28" ht="15">
      <c r="A170" s="454"/>
      <c r="B170" s="454"/>
      <c r="C170" s="454"/>
      <c r="E170" s="454"/>
      <c r="F170" s="454"/>
      <c r="G170" s="454"/>
      <c r="H170" s="454"/>
      <c r="I170" s="454"/>
      <c r="J170" s="454"/>
      <c r="K170" s="454"/>
      <c r="L170" s="454"/>
      <c r="M170" s="454"/>
      <c r="N170" s="454"/>
      <c r="O170" s="454"/>
      <c r="P170" s="454"/>
      <c r="Q170" s="454"/>
      <c r="R170" s="454"/>
      <c r="S170" s="454"/>
      <c r="T170" s="454"/>
      <c r="U170" s="454"/>
      <c r="V170" s="454"/>
      <c r="W170" s="454"/>
      <c r="X170" s="454"/>
      <c r="Y170" s="454"/>
      <c r="Z170" s="454"/>
      <c r="AA170" s="454"/>
      <c r="AB170" s="454"/>
    </row>
    <row r="171" spans="1:28" ht="15">
      <c r="A171" s="454"/>
      <c r="B171" s="454"/>
      <c r="C171" s="454"/>
      <c r="E171" s="454"/>
      <c r="F171" s="454"/>
      <c r="G171" s="454"/>
      <c r="H171" s="454"/>
      <c r="I171" s="454"/>
      <c r="J171" s="454"/>
      <c r="K171" s="454"/>
      <c r="L171" s="454"/>
      <c r="M171" s="454"/>
      <c r="N171" s="454"/>
      <c r="O171" s="454"/>
      <c r="P171" s="454"/>
      <c r="Q171" s="454"/>
      <c r="R171" s="454"/>
      <c r="S171" s="454"/>
      <c r="T171" s="454"/>
      <c r="U171" s="454"/>
      <c r="V171" s="454"/>
      <c r="W171" s="454"/>
      <c r="X171" s="454"/>
      <c r="Y171" s="454"/>
      <c r="Z171" s="454"/>
      <c r="AA171" s="454"/>
      <c r="AB171" s="454"/>
    </row>
    <row r="172" spans="1:28" ht="15">
      <c r="A172" s="454"/>
      <c r="B172" s="454"/>
      <c r="C172" s="454"/>
      <c r="E172" s="454"/>
      <c r="F172" s="454"/>
      <c r="G172" s="454"/>
      <c r="H172" s="454"/>
      <c r="I172" s="454"/>
      <c r="J172" s="454"/>
      <c r="K172" s="454"/>
      <c r="L172" s="454"/>
      <c r="M172" s="454"/>
      <c r="N172" s="454"/>
      <c r="O172" s="454"/>
      <c r="P172" s="454"/>
      <c r="Q172" s="454"/>
      <c r="R172" s="454"/>
      <c r="S172" s="454"/>
      <c r="T172" s="454"/>
      <c r="U172" s="454"/>
      <c r="V172" s="454"/>
      <c r="W172" s="454"/>
      <c r="X172" s="454"/>
      <c r="Y172" s="454"/>
      <c r="Z172" s="454"/>
      <c r="AA172" s="454"/>
      <c r="AB172" s="454"/>
    </row>
    <row r="173" spans="1:28" ht="15">
      <c r="A173" s="454"/>
      <c r="B173" s="454"/>
      <c r="C173" s="454"/>
      <c r="E173" s="454"/>
      <c r="F173" s="454"/>
      <c r="G173" s="454"/>
      <c r="H173" s="454"/>
      <c r="I173" s="454"/>
      <c r="J173" s="454"/>
      <c r="K173" s="454"/>
      <c r="L173" s="454"/>
      <c r="M173" s="454"/>
      <c r="N173" s="454"/>
      <c r="O173" s="454"/>
      <c r="P173" s="454"/>
      <c r="Q173" s="454"/>
      <c r="R173" s="454"/>
      <c r="S173" s="454"/>
      <c r="T173" s="454"/>
      <c r="U173" s="454"/>
      <c r="V173" s="454"/>
      <c r="W173" s="454"/>
      <c r="X173" s="454"/>
      <c r="Y173" s="454"/>
      <c r="Z173" s="454"/>
      <c r="AA173" s="454"/>
      <c r="AB173" s="454"/>
    </row>
    <row r="174" spans="1:28" ht="15">
      <c r="A174" s="454"/>
      <c r="B174" s="454"/>
      <c r="C174" s="454"/>
      <c r="E174" s="454"/>
      <c r="F174" s="454"/>
      <c r="G174" s="454"/>
      <c r="H174" s="454"/>
      <c r="I174" s="454"/>
      <c r="J174" s="454"/>
      <c r="K174" s="454"/>
      <c r="L174" s="454"/>
      <c r="M174" s="454"/>
      <c r="N174" s="454"/>
      <c r="O174" s="454"/>
      <c r="P174" s="454"/>
      <c r="Q174" s="454"/>
      <c r="R174" s="454"/>
      <c r="S174" s="454"/>
      <c r="T174" s="454"/>
      <c r="U174" s="454"/>
      <c r="V174" s="454"/>
      <c r="W174" s="454"/>
      <c r="X174" s="454"/>
      <c r="Y174" s="454"/>
      <c r="Z174" s="454"/>
      <c r="AA174" s="454"/>
      <c r="AB174" s="454"/>
    </row>
    <row r="175" spans="1:28" ht="15">
      <c r="A175" s="454"/>
      <c r="B175" s="454"/>
      <c r="C175" s="454"/>
      <c r="E175" s="454"/>
      <c r="F175" s="454"/>
      <c r="G175" s="454"/>
      <c r="H175" s="454"/>
      <c r="I175" s="454"/>
      <c r="J175" s="454"/>
      <c r="K175" s="454"/>
      <c r="L175" s="454"/>
      <c r="M175" s="454"/>
      <c r="N175" s="454"/>
      <c r="O175" s="454"/>
      <c r="P175" s="454"/>
      <c r="Q175" s="454"/>
      <c r="R175" s="454"/>
      <c r="S175" s="454"/>
      <c r="T175" s="454"/>
      <c r="U175" s="454"/>
      <c r="V175" s="454"/>
      <c r="W175" s="454"/>
      <c r="X175" s="454"/>
      <c r="Y175" s="454"/>
      <c r="Z175" s="454"/>
      <c r="AA175" s="454"/>
      <c r="AB175" s="454"/>
    </row>
    <row r="176" spans="1:28" ht="15">
      <c r="A176" s="454"/>
      <c r="B176" s="454"/>
      <c r="C176" s="454"/>
      <c r="E176" s="454"/>
      <c r="F176" s="454"/>
      <c r="G176" s="454"/>
      <c r="H176" s="454"/>
      <c r="I176" s="454"/>
      <c r="J176" s="454"/>
      <c r="K176" s="454"/>
      <c r="L176" s="454"/>
      <c r="M176" s="454"/>
      <c r="N176" s="454"/>
      <c r="O176" s="454"/>
      <c r="P176" s="454"/>
      <c r="Q176" s="454"/>
      <c r="R176" s="454"/>
      <c r="S176" s="454"/>
      <c r="T176" s="454"/>
      <c r="U176" s="454"/>
      <c r="V176" s="454"/>
      <c r="W176" s="454"/>
      <c r="X176" s="454"/>
      <c r="Y176" s="454"/>
      <c r="Z176" s="454"/>
      <c r="AA176" s="454"/>
      <c r="AB176" s="454"/>
    </row>
    <row r="177" spans="1:28" ht="15">
      <c r="A177" s="454"/>
      <c r="B177" s="454"/>
      <c r="C177" s="454"/>
      <c r="E177" s="454"/>
      <c r="F177" s="454"/>
      <c r="G177" s="454"/>
      <c r="H177" s="454"/>
      <c r="I177" s="454"/>
      <c r="J177" s="454"/>
      <c r="K177" s="454"/>
      <c r="L177" s="454"/>
      <c r="M177" s="454"/>
      <c r="N177" s="454"/>
      <c r="O177" s="454"/>
      <c r="P177" s="454"/>
      <c r="Q177" s="454"/>
      <c r="R177" s="454"/>
      <c r="S177" s="454"/>
      <c r="T177" s="454"/>
      <c r="U177" s="454"/>
      <c r="V177" s="454"/>
      <c r="W177" s="454"/>
      <c r="X177" s="454"/>
      <c r="Y177" s="454"/>
      <c r="Z177" s="454"/>
      <c r="AA177" s="454"/>
      <c r="AB177" s="454"/>
    </row>
    <row r="178" spans="1:28" ht="15">
      <c r="A178" s="454"/>
      <c r="B178" s="454"/>
      <c r="C178" s="454"/>
      <c r="E178" s="454"/>
      <c r="F178" s="454"/>
      <c r="G178" s="454"/>
      <c r="H178" s="454"/>
      <c r="I178" s="454"/>
      <c r="J178" s="454"/>
      <c r="K178" s="454"/>
      <c r="L178" s="454"/>
      <c r="M178" s="454"/>
      <c r="N178" s="454"/>
      <c r="O178" s="454"/>
      <c r="P178" s="454"/>
      <c r="Q178" s="454"/>
      <c r="R178" s="454"/>
      <c r="S178" s="454"/>
      <c r="T178" s="454"/>
      <c r="U178" s="454"/>
      <c r="V178" s="454"/>
      <c r="W178" s="454"/>
      <c r="X178" s="454"/>
      <c r="Y178" s="454"/>
      <c r="Z178" s="454"/>
      <c r="AA178" s="454"/>
      <c r="AB178" s="454"/>
    </row>
    <row r="179" spans="1:28" ht="15">
      <c r="A179" s="454"/>
      <c r="B179" s="454"/>
      <c r="C179" s="454"/>
      <c r="E179" s="454"/>
      <c r="F179" s="454"/>
      <c r="G179" s="454"/>
      <c r="H179" s="454"/>
      <c r="I179" s="454"/>
      <c r="J179" s="454"/>
      <c r="K179" s="454"/>
      <c r="L179" s="454"/>
      <c r="M179" s="454"/>
      <c r="N179" s="454"/>
      <c r="O179" s="454"/>
      <c r="P179" s="454"/>
      <c r="Q179" s="454"/>
      <c r="R179" s="454"/>
      <c r="S179" s="454"/>
      <c r="T179" s="454"/>
      <c r="U179" s="454"/>
      <c r="V179" s="454"/>
      <c r="W179" s="454"/>
      <c r="X179" s="454"/>
      <c r="Y179" s="454"/>
      <c r="Z179" s="454"/>
      <c r="AA179" s="454"/>
      <c r="AB179" s="454"/>
    </row>
    <row r="180" spans="1:28" ht="15">
      <c r="A180" s="454"/>
      <c r="B180" s="454"/>
      <c r="C180" s="454"/>
      <c r="E180" s="454"/>
      <c r="F180" s="454"/>
      <c r="G180" s="454"/>
      <c r="H180" s="454"/>
      <c r="I180" s="454"/>
      <c r="J180" s="454"/>
      <c r="K180" s="454"/>
      <c r="L180" s="454"/>
      <c r="M180" s="454"/>
      <c r="N180" s="454"/>
      <c r="O180" s="454"/>
      <c r="P180" s="454"/>
      <c r="Q180" s="454"/>
      <c r="R180" s="454"/>
      <c r="S180" s="454"/>
      <c r="T180" s="454"/>
      <c r="U180" s="454"/>
      <c r="V180" s="454"/>
      <c r="W180" s="454"/>
      <c r="X180" s="454"/>
      <c r="Y180" s="454"/>
      <c r="Z180" s="454"/>
      <c r="AA180" s="454"/>
      <c r="AB180" s="454"/>
    </row>
    <row r="181" spans="1:28" ht="15">
      <c r="A181" s="454"/>
      <c r="B181" s="454"/>
      <c r="C181" s="454"/>
      <c r="E181" s="454"/>
      <c r="F181" s="454"/>
      <c r="G181" s="454"/>
      <c r="H181" s="454"/>
      <c r="I181" s="454"/>
      <c r="J181" s="454"/>
      <c r="K181" s="454"/>
      <c r="L181" s="454"/>
      <c r="M181" s="454"/>
      <c r="N181" s="454"/>
      <c r="O181" s="454"/>
      <c r="P181" s="454"/>
      <c r="Q181" s="454"/>
      <c r="R181" s="454"/>
      <c r="S181" s="454"/>
      <c r="T181" s="454"/>
      <c r="U181" s="454"/>
      <c r="V181" s="454"/>
      <c r="W181" s="454"/>
      <c r="X181" s="454"/>
      <c r="Y181" s="454"/>
      <c r="Z181" s="454"/>
      <c r="AA181" s="454"/>
      <c r="AB181" s="454"/>
    </row>
    <row r="182" spans="1:28" ht="15">
      <c r="A182" s="454"/>
      <c r="B182" s="454"/>
      <c r="C182" s="454"/>
      <c r="E182" s="454"/>
      <c r="F182" s="454"/>
      <c r="G182" s="454"/>
      <c r="H182" s="454"/>
      <c r="I182" s="454"/>
      <c r="J182" s="454"/>
      <c r="K182" s="454"/>
      <c r="L182" s="454"/>
      <c r="M182" s="454"/>
      <c r="N182" s="454"/>
      <c r="O182" s="454"/>
      <c r="P182" s="454"/>
      <c r="Q182" s="454"/>
      <c r="R182" s="454"/>
      <c r="S182" s="454"/>
      <c r="T182" s="454"/>
      <c r="U182" s="454"/>
      <c r="V182" s="454"/>
      <c r="W182" s="454"/>
      <c r="X182" s="454"/>
      <c r="Y182" s="454"/>
      <c r="Z182" s="454"/>
      <c r="AA182" s="454"/>
      <c r="AB182" s="454"/>
    </row>
    <row r="183" spans="1:28" ht="15">
      <c r="A183" s="454"/>
      <c r="B183" s="454"/>
      <c r="C183" s="454"/>
      <c r="E183" s="454"/>
      <c r="F183" s="454"/>
      <c r="G183" s="454"/>
      <c r="H183" s="454"/>
      <c r="I183" s="454"/>
      <c r="J183" s="454"/>
      <c r="K183" s="454"/>
      <c r="L183" s="454"/>
      <c r="M183" s="454"/>
      <c r="N183" s="454"/>
      <c r="O183" s="454"/>
      <c r="P183" s="454"/>
      <c r="Q183" s="454"/>
      <c r="R183" s="454"/>
      <c r="S183" s="454"/>
      <c r="T183" s="454"/>
      <c r="U183" s="454"/>
      <c r="V183" s="454"/>
      <c r="W183" s="454"/>
      <c r="X183" s="454"/>
      <c r="Y183" s="454"/>
      <c r="Z183" s="454"/>
      <c r="AA183" s="454"/>
      <c r="AB183" s="454"/>
    </row>
    <row r="184" spans="1:28" ht="15">
      <c r="A184" s="454"/>
      <c r="B184" s="454"/>
      <c r="C184" s="454"/>
      <c r="E184" s="454"/>
      <c r="F184" s="454"/>
      <c r="G184" s="454"/>
      <c r="H184" s="454"/>
      <c r="I184" s="454"/>
      <c r="J184" s="454"/>
      <c r="K184" s="454"/>
      <c r="L184" s="454"/>
      <c r="M184" s="454"/>
      <c r="N184" s="454"/>
      <c r="O184" s="454"/>
      <c r="P184" s="454"/>
      <c r="Q184" s="454"/>
      <c r="R184" s="454"/>
      <c r="S184" s="454"/>
      <c r="T184" s="454"/>
      <c r="U184" s="454"/>
      <c r="V184" s="454"/>
      <c r="W184" s="454"/>
      <c r="X184" s="454"/>
      <c r="Y184" s="454"/>
      <c r="Z184" s="454"/>
      <c r="AA184" s="454"/>
      <c r="AB184" s="454"/>
    </row>
    <row r="185" spans="1:28" ht="15">
      <c r="A185" s="454"/>
      <c r="B185" s="454"/>
      <c r="C185" s="454"/>
      <c r="E185" s="454"/>
      <c r="F185" s="454"/>
      <c r="G185" s="454"/>
      <c r="H185" s="454"/>
      <c r="I185" s="454"/>
      <c r="J185" s="454"/>
      <c r="K185" s="454"/>
      <c r="L185" s="454"/>
      <c r="M185" s="454"/>
      <c r="N185" s="454"/>
      <c r="O185" s="454"/>
      <c r="P185" s="454"/>
      <c r="Q185" s="454"/>
      <c r="R185" s="454"/>
      <c r="S185" s="454"/>
      <c r="T185" s="454"/>
      <c r="U185" s="454"/>
      <c r="V185" s="454"/>
      <c r="W185" s="454"/>
      <c r="X185" s="454"/>
      <c r="Y185" s="454"/>
      <c r="Z185" s="454"/>
      <c r="AA185" s="454"/>
      <c r="AB185" s="454"/>
    </row>
    <row r="186" spans="1:28" ht="15">
      <c r="A186" s="454"/>
      <c r="B186" s="454"/>
      <c r="C186" s="454"/>
      <c r="E186" s="454"/>
      <c r="F186" s="454"/>
      <c r="G186" s="454"/>
      <c r="H186" s="454"/>
      <c r="I186" s="454"/>
      <c r="J186" s="454"/>
      <c r="K186" s="454"/>
      <c r="L186" s="454"/>
      <c r="M186" s="454"/>
      <c r="N186" s="454"/>
      <c r="O186" s="454"/>
      <c r="P186" s="454"/>
      <c r="Q186" s="454"/>
      <c r="R186" s="454"/>
      <c r="S186" s="454"/>
      <c r="T186" s="454"/>
      <c r="U186" s="454"/>
      <c r="V186" s="454"/>
      <c r="W186" s="454"/>
      <c r="X186" s="454"/>
      <c r="Y186" s="454"/>
      <c r="Z186" s="454"/>
      <c r="AA186" s="454"/>
      <c r="AB186" s="454"/>
    </row>
    <row r="187" spans="1:28" ht="15">
      <c r="A187" s="454"/>
      <c r="B187" s="454"/>
      <c r="C187" s="454"/>
      <c r="E187" s="454"/>
      <c r="F187" s="454"/>
      <c r="G187" s="454"/>
      <c r="H187" s="454"/>
      <c r="I187" s="454"/>
      <c r="J187" s="454"/>
      <c r="K187" s="454"/>
      <c r="L187" s="454"/>
      <c r="M187" s="454"/>
      <c r="N187" s="454"/>
      <c r="O187" s="454"/>
      <c r="P187" s="454"/>
      <c r="Q187" s="454"/>
      <c r="R187" s="454"/>
      <c r="S187" s="454"/>
      <c r="T187" s="454"/>
      <c r="U187" s="454"/>
      <c r="V187" s="454"/>
      <c r="W187" s="454"/>
      <c r="X187" s="454"/>
      <c r="Y187" s="454"/>
      <c r="Z187" s="454"/>
      <c r="AA187" s="454"/>
      <c r="AB187" s="454"/>
    </row>
    <row r="188" spans="1:28" ht="15">
      <c r="A188" s="454"/>
      <c r="B188" s="454"/>
      <c r="C188" s="454"/>
      <c r="E188" s="454"/>
      <c r="F188" s="454"/>
      <c r="G188" s="454"/>
      <c r="H188" s="454"/>
      <c r="I188" s="454"/>
      <c r="J188" s="454"/>
      <c r="K188" s="454"/>
      <c r="L188" s="454"/>
      <c r="M188" s="454"/>
      <c r="N188" s="454"/>
      <c r="O188" s="454"/>
      <c r="P188" s="454"/>
      <c r="Q188" s="454"/>
      <c r="R188" s="454"/>
      <c r="S188" s="454"/>
      <c r="T188" s="454"/>
      <c r="U188" s="454"/>
      <c r="V188" s="454"/>
      <c r="W188" s="454"/>
      <c r="X188" s="454"/>
      <c r="Y188" s="454"/>
      <c r="Z188" s="454"/>
      <c r="AA188" s="454"/>
      <c r="AB188" s="454"/>
    </row>
    <row r="189" spans="1:28" ht="15">
      <c r="A189" s="454"/>
      <c r="B189" s="454"/>
      <c r="C189" s="454"/>
      <c r="E189" s="454"/>
      <c r="F189" s="454"/>
      <c r="G189" s="454"/>
      <c r="H189" s="454"/>
      <c r="I189" s="454"/>
      <c r="J189" s="454"/>
      <c r="K189" s="454"/>
      <c r="L189" s="454"/>
      <c r="M189" s="454"/>
      <c r="N189" s="454"/>
      <c r="O189" s="454"/>
      <c r="P189" s="454"/>
      <c r="Q189" s="454"/>
      <c r="R189" s="454"/>
      <c r="S189" s="454"/>
      <c r="T189" s="454"/>
      <c r="U189" s="454"/>
      <c r="V189" s="454"/>
      <c r="W189" s="454"/>
      <c r="X189" s="454"/>
      <c r="Y189" s="454"/>
      <c r="Z189" s="454"/>
      <c r="AA189" s="454"/>
      <c r="AB189" s="454"/>
    </row>
    <row r="190" spans="1:28" ht="15">
      <c r="A190" s="454"/>
      <c r="B190" s="454"/>
      <c r="C190" s="454"/>
      <c r="E190" s="454"/>
      <c r="F190" s="454"/>
      <c r="G190" s="454"/>
      <c r="H190" s="454"/>
      <c r="I190" s="454"/>
      <c r="J190" s="454"/>
      <c r="K190" s="454"/>
      <c r="L190" s="454"/>
      <c r="M190" s="454"/>
      <c r="N190" s="454"/>
      <c r="O190" s="454"/>
      <c r="P190" s="454"/>
      <c r="Q190" s="454"/>
      <c r="R190" s="454"/>
      <c r="S190" s="454"/>
      <c r="T190" s="454"/>
      <c r="U190" s="454"/>
      <c r="V190" s="454"/>
      <c r="W190" s="454"/>
      <c r="X190" s="454"/>
      <c r="Y190" s="454"/>
      <c r="Z190" s="454"/>
      <c r="AA190" s="454"/>
      <c r="AB190" s="454"/>
    </row>
    <row r="191" spans="1:28" ht="15">
      <c r="A191" s="454"/>
      <c r="B191" s="454"/>
      <c r="C191" s="454"/>
      <c r="E191" s="454"/>
      <c r="F191" s="454"/>
      <c r="G191" s="454"/>
      <c r="H191" s="454"/>
      <c r="I191" s="454"/>
      <c r="J191" s="454"/>
      <c r="K191" s="454"/>
      <c r="L191" s="454"/>
      <c r="M191" s="454"/>
      <c r="N191" s="454"/>
      <c r="O191" s="454"/>
      <c r="P191" s="454"/>
      <c r="Q191" s="454"/>
      <c r="R191" s="454"/>
      <c r="S191" s="454"/>
      <c r="T191" s="454"/>
      <c r="U191" s="454"/>
      <c r="V191" s="454"/>
      <c r="W191" s="454"/>
      <c r="X191" s="454"/>
      <c r="Y191" s="454"/>
      <c r="Z191" s="454"/>
      <c r="AA191" s="454"/>
      <c r="AB191" s="454"/>
    </row>
    <row r="192" spans="1:28" ht="15">
      <c r="A192" s="454"/>
      <c r="B192" s="454"/>
      <c r="C192" s="454"/>
      <c r="E192" s="454"/>
      <c r="F192" s="454"/>
      <c r="G192" s="454"/>
      <c r="H192" s="454"/>
      <c r="I192" s="454"/>
      <c r="J192" s="454"/>
      <c r="K192" s="454"/>
      <c r="L192" s="454"/>
      <c r="M192" s="454"/>
      <c r="N192" s="454"/>
      <c r="O192" s="454"/>
      <c r="P192" s="454"/>
      <c r="Q192" s="454"/>
      <c r="R192" s="454"/>
      <c r="S192" s="454"/>
      <c r="T192" s="454"/>
      <c r="U192" s="454"/>
      <c r="V192" s="454"/>
      <c r="W192" s="454"/>
      <c r="X192" s="454"/>
      <c r="Y192" s="454"/>
      <c r="Z192" s="454"/>
      <c r="AA192" s="454"/>
      <c r="AB192" s="454"/>
    </row>
    <row r="193" spans="1:28" ht="15">
      <c r="A193" s="454"/>
      <c r="B193" s="454"/>
      <c r="C193" s="454"/>
      <c r="E193" s="454"/>
      <c r="F193" s="454"/>
      <c r="G193" s="454"/>
      <c r="H193" s="454"/>
      <c r="I193" s="454"/>
      <c r="J193" s="454"/>
      <c r="K193" s="454"/>
      <c r="L193" s="454"/>
      <c r="M193" s="454"/>
      <c r="N193" s="454"/>
      <c r="O193" s="454"/>
      <c r="P193" s="454"/>
      <c r="Q193" s="454"/>
      <c r="R193" s="454"/>
      <c r="S193" s="454"/>
      <c r="T193" s="454"/>
      <c r="U193" s="454"/>
      <c r="V193" s="454"/>
      <c r="W193" s="454"/>
      <c r="X193" s="454"/>
      <c r="Y193" s="454"/>
      <c r="Z193" s="454"/>
      <c r="AA193" s="454"/>
      <c r="AB193" s="454"/>
    </row>
    <row r="194" spans="1:28" ht="15">
      <c r="A194" s="454"/>
      <c r="B194" s="454"/>
      <c r="C194" s="454"/>
      <c r="E194" s="454"/>
      <c r="F194" s="454"/>
      <c r="G194" s="454"/>
      <c r="H194" s="454"/>
      <c r="I194" s="454"/>
      <c r="J194" s="454"/>
      <c r="K194" s="454"/>
      <c r="L194" s="454"/>
      <c r="M194" s="454"/>
      <c r="N194" s="454"/>
      <c r="O194" s="454"/>
      <c r="P194" s="454"/>
      <c r="Q194" s="454"/>
      <c r="R194" s="454"/>
      <c r="S194" s="454"/>
      <c r="T194" s="454"/>
      <c r="U194" s="454"/>
      <c r="V194" s="454"/>
      <c r="W194" s="454"/>
      <c r="X194" s="454"/>
      <c r="Y194" s="454"/>
      <c r="Z194" s="454"/>
      <c r="AA194" s="454"/>
      <c r="AB194" s="454"/>
    </row>
    <row r="195" spans="1:28" ht="15">
      <c r="A195" s="454"/>
      <c r="B195" s="454"/>
      <c r="C195" s="454"/>
      <c r="E195" s="454"/>
      <c r="F195" s="454"/>
      <c r="G195" s="454"/>
      <c r="H195" s="454"/>
      <c r="I195" s="454"/>
      <c r="J195" s="454"/>
      <c r="K195" s="454"/>
      <c r="L195" s="454"/>
      <c r="M195" s="454"/>
      <c r="N195" s="454"/>
      <c r="O195" s="454"/>
      <c r="P195" s="454"/>
      <c r="Q195" s="454"/>
      <c r="R195" s="454"/>
      <c r="S195" s="454"/>
      <c r="T195" s="454"/>
      <c r="U195" s="454"/>
      <c r="V195" s="454"/>
      <c r="W195" s="454"/>
      <c r="X195" s="454"/>
      <c r="Y195" s="454"/>
      <c r="Z195" s="454"/>
      <c r="AA195" s="454"/>
      <c r="AB195" s="454"/>
    </row>
    <row r="196" spans="1:28" ht="15">
      <c r="A196" s="454"/>
      <c r="B196" s="454"/>
      <c r="C196" s="454"/>
      <c r="E196" s="454"/>
      <c r="F196" s="454"/>
      <c r="G196" s="454"/>
      <c r="H196" s="454"/>
      <c r="I196" s="454"/>
      <c r="J196" s="454"/>
      <c r="K196" s="454"/>
      <c r="L196" s="454"/>
      <c r="M196" s="454"/>
      <c r="N196" s="454"/>
      <c r="O196" s="454"/>
      <c r="P196" s="454"/>
      <c r="Q196" s="454"/>
      <c r="R196" s="454"/>
      <c r="S196" s="454"/>
      <c r="T196" s="454"/>
      <c r="U196" s="454"/>
      <c r="V196" s="454"/>
      <c r="W196" s="454"/>
      <c r="X196" s="454"/>
      <c r="Y196" s="454"/>
      <c r="Z196" s="454"/>
      <c r="AA196" s="454"/>
      <c r="AB196" s="454"/>
    </row>
    <row r="197" spans="1:28" ht="15">
      <c r="A197" s="454"/>
      <c r="B197" s="454"/>
      <c r="C197" s="454"/>
      <c r="E197" s="454"/>
      <c r="F197" s="454"/>
      <c r="G197" s="454"/>
      <c r="H197" s="454"/>
      <c r="I197" s="454"/>
      <c r="J197" s="454"/>
      <c r="K197" s="454"/>
      <c r="L197" s="454"/>
      <c r="M197" s="454"/>
      <c r="N197" s="454"/>
      <c r="O197" s="454"/>
      <c r="P197" s="454"/>
      <c r="Q197" s="454"/>
      <c r="R197" s="454"/>
      <c r="S197" s="454"/>
      <c r="T197" s="454"/>
      <c r="U197" s="454"/>
      <c r="V197" s="454"/>
      <c r="W197" s="454"/>
      <c r="X197" s="454"/>
      <c r="Y197" s="454"/>
      <c r="Z197" s="454"/>
      <c r="AA197" s="454"/>
      <c r="AB197" s="454"/>
    </row>
    <row r="198" spans="1:28" ht="15">
      <c r="A198" s="454"/>
      <c r="B198" s="454"/>
      <c r="C198" s="454"/>
      <c r="E198" s="454"/>
      <c r="F198" s="454"/>
      <c r="G198" s="454"/>
      <c r="H198" s="454"/>
      <c r="I198" s="454"/>
      <c r="J198" s="454"/>
      <c r="K198" s="454"/>
      <c r="L198" s="454"/>
      <c r="M198" s="454"/>
      <c r="N198" s="454"/>
      <c r="O198" s="454"/>
      <c r="P198" s="454"/>
      <c r="Q198" s="454"/>
      <c r="R198" s="454"/>
      <c r="S198" s="454"/>
      <c r="T198" s="454"/>
      <c r="U198" s="454"/>
      <c r="V198" s="454"/>
      <c r="W198" s="454"/>
      <c r="X198" s="454"/>
      <c r="Y198" s="454"/>
      <c r="Z198" s="454"/>
      <c r="AA198" s="454"/>
      <c r="AB198" s="454"/>
    </row>
    <row r="199" spans="1:28" ht="15">
      <c r="A199" s="454"/>
      <c r="B199" s="454"/>
      <c r="C199" s="454"/>
      <c r="E199" s="454"/>
      <c r="F199" s="454"/>
      <c r="G199" s="454"/>
      <c r="H199" s="454"/>
      <c r="I199" s="454"/>
      <c r="J199" s="454"/>
      <c r="K199" s="454"/>
      <c r="L199" s="454"/>
      <c r="M199" s="454"/>
      <c r="N199" s="454"/>
      <c r="O199" s="454"/>
      <c r="P199" s="454"/>
      <c r="Q199" s="454"/>
      <c r="R199" s="454"/>
      <c r="S199" s="454"/>
      <c r="T199" s="454"/>
      <c r="U199" s="454"/>
      <c r="V199" s="454"/>
      <c r="W199" s="454"/>
      <c r="X199" s="454"/>
      <c r="Y199" s="454"/>
      <c r="Z199" s="454"/>
      <c r="AA199" s="454"/>
      <c r="AB199" s="454"/>
    </row>
    <row r="200" spans="1:28" ht="15">
      <c r="A200" s="454"/>
      <c r="B200" s="454"/>
      <c r="C200" s="454"/>
      <c r="E200" s="454"/>
      <c r="F200" s="454"/>
      <c r="G200" s="454"/>
      <c r="H200" s="454"/>
      <c r="I200" s="454"/>
      <c r="J200" s="454"/>
      <c r="K200" s="454"/>
      <c r="L200" s="454"/>
      <c r="M200" s="454"/>
      <c r="N200" s="454"/>
      <c r="O200" s="454"/>
      <c r="P200" s="454"/>
      <c r="Q200" s="454"/>
      <c r="R200" s="454"/>
      <c r="S200" s="454"/>
      <c r="T200" s="454"/>
      <c r="U200" s="454"/>
      <c r="V200" s="454"/>
      <c r="W200" s="454"/>
      <c r="X200" s="454"/>
      <c r="Y200" s="454"/>
      <c r="Z200" s="454"/>
      <c r="AA200" s="454"/>
      <c r="AB200" s="454"/>
    </row>
    <row r="201" spans="1:28" ht="15">
      <c r="A201" s="454"/>
      <c r="B201" s="454"/>
      <c r="C201" s="454"/>
      <c r="E201" s="454"/>
      <c r="F201" s="454"/>
      <c r="G201" s="454"/>
      <c r="H201" s="454"/>
      <c r="I201" s="454"/>
      <c r="J201" s="454"/>
      <c r="K201" s="454"/>
      <c r="L201" s="454"/>
      <c r="M201" s="454"/>
      <c r="N201" s="454"/>
      <c r="O201" s="454"/>
      <c r="P201" s="454"/>
      <c r="Q201" s="454"/>
      <c r="R201" s="454"/>
      <c r="S201" s="454"/>
      <c r="T201" s="454"/>
      <c r="U201" s="454"/>
      <c r="V201" s="454"/>
      <c r="W201" s="454"/>
      <c r="X201" s="454"/>
      <c r="Y201" s="454"/>
      <c r="Z201" s="454"/>
      <c r="AA201" s="454"/>
      <c r="AB201" s="454"/>
    </row>
    <row r="202" spans="1:28" ht="15">
      <c r="A202" s="454"/>
      <c r="B202" s="454"/>
      <c r="C202" s="454"/>
      <c r="E202" s="454"/>
      <c r="F202" s="454"/>
      <c r="G202" s="454"/>
      <c r="H202" s="454"/>
      <c r="I202" s="454"/>
      <c r="J202" s="454"/>
      <c r="K202" s="454"/>
      <c r="L202" s="454"/>
      <c r="M202" s="454"/>
      <c r="N202" s="454"/>
      <c r="O202" s="454"/>
      <c r="P202" s="454"/>
      <c r="Q202" s="454"/>
      <c r="R202" s="454"/>
      <c r="S202" s="454"/>
      <c r="T202" s="454"/>
      <c r="U202" s="454"/>
      <c r="V202" s="454"/>
      <c r="W202" s="454"/>
      <c r="X202" s="454"/>
      <c r="Y202" s="454"/>
      <c r="Z202" s="454"/>
      <c r="AA202" s="454"/>
      <c r="AB202" s="454"/>
    </row>
    <row r="203" spans="1:28" ht="15">
      <c r="A203" s="454"/>
      <c r="B203" s="454"/>
      <c r="C203" s="454"/>
      <c r="E203" s="454"/>
      <c r="F203" s="454"/>
      <c r="G203" s="454"/>
      <c r="H203" s="454"/>
      <c r="I203" s="454"/>
      <c r="J203" s="454"/>
      <c r="K203" s="454"/>
      <c r="L203" s="454"/>
      <c r="M203" s="454"/>
      <c r="N203" s="454"/>
      <c r="O203" s="454"/>
      <c r="P203" s="454"/>
      <c r="Q203" s="454"/>
      <c r="R203" s="454"/>
      <c r="S203" s="454"/>
      <c r="T203" s="454"/>
      <c r="U203" s="454"/>
      <c r="V203" s="454"/>
      <c r="W203" s="454"/>
      <c r="X203" s="454"/>
      <c r="Y203" s="454"/>
      <c r="Z203" s="454"/>
      <c r="AA203" s="454"/>
      <c r="AB203" s="454"/>
    </row>
    <row r="204" spans="1:28" ht="15">
      <c r="A204" s="454"/>
      <c r="B204" s="454"/>
      <c r="C204" s="454"/>
      <c r="E204" s="454"/>
      <c r="F204" s="454"/>
      <c r="G204" s="454"/>
      <c r="H204" s="454"/>
      <c r="I204" s="454"/>
      <c r="J204" s="454"/>
      <c r="K204" s="454"/>
      <c r="L204" s="454"/>
      <c r="M204" s="454"/>
      <c r="N204" s="454"/>
      <c r="O204" s="454"/>
      <c r="P204" s="454"/>
      <c r="Q204" s="454"/>
      <c r="R204" s="454"/>
      <c r="S204" s="454"/>
      <c r="T204" s="454"/>
      <c r="U204" s="454"/>
      <c r="V204" s="454"/>
      <c r="W204" s="454"/>
      <c r="X204" s="454"/>
      <c r="Y204" s="454"/>
      <c r="Z204" s="454"/>
      <c r="AA204" s="454"/>
      <c r="AB204" s="454"/>
    </row>
    <row r="205" spans="1:28" ht="15">
      <c r="A205" s="454"/>
      <c r="B205" s="454"/>
      <c r="C205" s="454"/>
      <c r="E205" s="454"/>
      <c r="F205" s="454"/>
      <c r="G205" s="454"/>
      <c r="H205" s="454"/>
      <c r="I205" s="454"/>
      <c r="J205" s="454"/>
      <c r="K205" s="454"/>
      <c r="L205" s="454"/>
      <c r="M205" s="454"/>
      <c r="N205" s="454"/>
      <c r="O205" s="454"/>
      <c r="P205" s="454"/>
      <c r="Q205" s="454"/>
      <c r="R205" s="454"/>
      <c r="S205" s="454"/>
      <c r="T205" s="454"/>
      <c r="U205" s="454"/>
      <c r="V205" s="454"/>
      <c r="W205" s="454"/>
      <c r="X205" s="454"/>
      <c r="Y205" s="454"/>
      <c r="Z205" s="454"/>
      <c r="AA205" s="454"/>
      <c r="AB205" s="454"/>
    </row>
  </sheetData>
  <printOptions horizontalCentered="1" verticalCentered="1"/>
  <pageMargins left="0.5" right="0.5" top="1.75" bottom="0.5" header="0" footer="0"/>
  <pageSetup scale="47" fitToHeight="0" orientation="landscape" cellComments="atEnd" r:id="rId1"/>
  <customProperties>
    <customPr name="GUID" r:id="rId2"/>
  </customProperties>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pageSetUpPr fitToPage="1"/>
  </sheetPr>
  <dimension ref="A1:Q541"/>
  <sheetViews>
    <sheetView zoomScale="80" zoomScaleNormal="80" workbookViewId="0">
      <selection activeCell="A17" sqref="A17"/>
    </sheetView>
  </sheetViews>
  <sheetFormatPr defaultColWidth="9.140625" defaultRowHeight="12.75"/>
  <cols>
    <col min="1" max="1" width="13.42578125" style="549" customWidth="1"/>
    <col min="2" max="2" width="13.42578125" style="516" customWidth="1"/>
    <col min="3" max="3" width="28.140625" style="516" bestFit="1" customWidth="1"/>
    <col min="4" max="4" width="31.42578125" style="516" bestFit="1" customWidth="1"/>
    <col min="5" max="5" width="19.42578125" style="516" bestFit="1" customWidth="1"/>
    <col min="6" max="6" width="15.5703125" style="516" bestFit="1" customWidth="1"/>
    <col min="7" max="7" width="31.42578125" style="516" bestFit="1" customWidth="1"/>
    <col min="8" max="8" width="19.42578125" style="516" bestFit="1" customWidth="1"/>
    <col min="9" max="9" width="13.5703125" style="516" bestFit="1" customWidth="1"/>
    <col min="10" max="10" width="36.5703125" style="516" bestFit="1" customWidth="1"/>
    <col min="11" max="11" width="15.5703125" style="516" bestFit="1" customWidth="1"/>
    <col min="12" max="12" width="13.5703125" style="516" bestFit="1" customWidth="1"/>
    <col min="13" max="13" width="14.42578125" style="516" bestFit="1" customWidth="1"/>
    <col min="14" max="15" width="6.5703125" style="516" bestFit="1" customWidth="1"/>
    <col min="16" max="16" width="6.42578125" style="516" bestFit="1" customWidth="1"/>
    <col min="17" max="18" width="13.5703125" style="516" bestFit="1" customWidth="1"/>
    <col min="19" max="16384" width="9.140625" style="516"/>
  </cols>
  <sheetData>
    <row r="1" spans="1:17" customFormat="1"/>
    <row r="2" spans="1:17" customFormat="1">
      <c r="A2" s="551" t="s">
        <v>1132</v>
      </c>
      <c r="B2" s="548"/>
      <c r="C2" s="548"/>
      <c r="D2" s="548"/>
      <c r="E2" s="548"/>
      <c r="F2" s="548"/>
      <c r="G2" s="548"/>
      <c r="H2" s="548"/>
      <c r="I2" s="548"/>
      <c r="J2" s="548"/>
      <c r="K2" s="548"/>
      <c r="L2" s="548"/>
      <c r="M2" s="548"/>
      <c r="N2" s="548"/>
      <c r="O2" s="548"/>
      <c r="P2" s="548"/>
      <c r="Q2" s="548"/>
    </row>
    <row r="3" spans="1:17" customFormat="1"/>
    <row r="4" spans="1:17" customFormat="1"/>
    <row r="5" spans="1:17" customFormat="1"/>
    <row r="6" spans="1:17" customFormat="1"/>
    <row r="7" spans="1:17" customFormat="1"/>
    <row r="8" spans="1:17" customFormat="1"/>
    <row r="9" spans="1:17" customFormat="1"/>
    <row r="10" spans="1:17" customFormat="1"/>
    <row r="11" spans="1:17" customFormat="1"/>
    <row r="12" spans="1:17" customFormat="1"/>
    <row r="13" spans="1:17" customFormat="1"/>
    <row r="14" spans="1:17" customFormat="1"/>
    <row r="15" spans="1:17" customFormat="1"/>
    <row r="16" spans="1:17"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ht="8.25" customHeigh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sheetData>
  <printOptions horizontalCentered="1" verticalCentered="1"/>
  <pageMargins left="0.5" right="0.5" top="1.75" bottom="0.5" header="0" footer="0"/>
  <pageSetup scale="43" fitToHeight="0" orientation="landscape" cellComments="atEnd" verticalDpi="1200" r:id="rId1"/>
  <customProperties>
    <customPr name="GU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96127-3DB2-4A80-B62E-2995B568470F}">
  <dimension ref="A1:H59"/>
  <sheetViews>
    <sheetView workbookViewId="0">
      <selection activeCell="C2" sqref="C2"/>
    </sheetView>
  </sheetViews>
  <sheetFormatPr defaultColWidth="8.85546875" defaultRowHeight="12.75"/>
  <cols>
    <col min="1" max="1" width="30.7109375" bestFit="1" customWidth="1"/>
    <col min="2" max="2" width="33.42578125" bestFit="1" customWidth="1"/>
    <col min="3" max="3" width="22.42578125" customWidth="1"/>
    <col min="5" max="5" width="10" customWidth="1"/>
    <col min="6" max="6" width="18" customWidth="1"/>
    <col min="7" max="7" width="13.42578125" customWidth="1"/>
  </cols>
  <sheetData>
    <row r="1" spans="1:8">
      <c r="A1" t="s">
        <v>1004</v>
      </c>
      <c r="B1" t="s">
        <v>1133</v>
      </c>
      <c r="C1" t="s">
        <v>1134</v>
      </c>
      <c r="E1" t="s">
        <v>1135</v>
      </c>
    </row>
    <row r="2" spans="1:8">
      <c r="A2" s="1539" t="s">
        <v>1136</v>
      </c>
      <c r="B2" s="1539" t="s">
        <v>1137</v>
      </c>
      <c r="C2" s="1095">
        <f>IFERROR(IF(Priced="Priced",IF('Pricing Detail'!G15=0,"",ROUND(('Pricing Detail'!G15)*100,2)),""),"")</f>
        <v>4.7699999999999996</v>
      </c>
      <c r="E2" t="s">
        <v>1138</v>
      </c>
      <c r="F2" t="s">
        <v>1139</v>
      </c>
      <c r="G2" t="s">
        <v>1140</v>
      </c>
      <c r="H2" t="s">
        <v>1141</v>
      </c>
    </row>
    <row r="3" spans="1:8">
      <c r="A3" s="1539" t="s">
        <v>1142</v>
      </c>
      <c r="B3" s="1539" t="s">
        <v>1143</v>
      </c>
      <c r="C3" s="1095">
        <f>IFERROR(IF(Priced="Priced",IF('Pricing Detail'!H15=0,"",ROUND(('Pricing Detail'!H15)*100,2)),""),"")</f>
        <v>6.11</v>
      </c>
      <c r="E3">
        <f>IF('Pricing Detail'!$E$30=0,"",'Pricing Detail'!$E$30)</f>
        <v>2</v>
      </c>
      <c r="F3" t="str">
        <f>IF('Pricing Detail'!$F30="","",'Pricing Detail'!$F30)</f>
        <v>1 Bed / 1 Bath</v>
      </c>
      <c r="G3">
        <f>IF(OR('Pricing Detail'!$H$30="",'Pricing Detail'!$H$30=0),"",ROUND('Pricing Detail'!$H$30,0))</f>
        <v>650</v>
      </c>
      <c r="H3" s="987">
        <f>IF('Pricing Detail'!$I$30="","",ROUND('Pricing Detail'!$I$30,0))</f>
        <v>1923</v>
      </c>
    </row>
    <row r="4" spans="1:8">
      <c r="A4" s="1539" t="s">
        <v>1144</v>
      </c>
      <c r="B4" s="1539" t="s">
        <v>1145</v>
      </c>
      <c r="C4" s="987">
        <f>IF(SwitchAcqMethod="All Cash","",ROUND((Debt!E19)*-1,0))</f>
        <v>360123</v>
      </c>
      <c r="E4">
        <f>IF('Pricing Detail'!$E$31=0,"",'Pricing Detail'!$E$31)</f>
        <v>24</v>
      </c>
      <c r="F4" t="str">
        <f>IF('Pricing Detail'!$F31="","",'Pricing Detail'!$F31)</f>
        <v>2 Bed / 1 Bath</v>
      </c>
      <c r="G4">
        <f>IF(OR('Pricing Detail'!$H$31="",'Pricing Detail'!$H$31=0),"",ROUND('Pricing Detail'!$H$31,0))</f>
        <v>750</v>
      </c>
      <c r="H4" s="987">
        <f>IF('Pricing Detail'!$I$31="","",ROUND('Pricing Detail'!$I$31,0))</f>
        <v>2204</v>
      </c>
    </row>
    <row r="5" spans="1:8">
      <c r="A5" s="1539" t="s">
        <v>1146</v>
      </c>
      <c r="B5" s="1539" t="s">
        <v>1147</v>
      </c>
      <c r="C5" s="987">
        <f>IF(SwitchAcqMethod="All Cash","",ROUND((Debt!E19)*-1,0))</f>
        <v>360123</v>
      </c>
      <c r="E5">
        <f>IF('Pricing Detail'!$E$32=0,"",'Pricing Detail'!$E$32)</f>
        <v>1</v>
      </c>
      <c r="F5" t="str">
        <f>IF('Pricing Detail'!$F32="","",'Pricing Detail'!$F32)</f>
        <v>4 Bed / 3 Bath House</v>
      </c>
      <c r="G5">
        <f>IF(OR('Pricing Detail'!$H$32="",'Pricing Detail'!$H$32=0),"",ROUND('Pricing Detail'!$H$32,0))</f>
        <v>2500</v>
      </c>
      <c r="H5" s="987">
        <f>IF('Pricing Detail'!$I$32="","",ROUND('Pricing Detail'!$I$32,0))</f>
        <v>5000</v>
      </c>
    </row>
    <row r="6" spans="1:8">
      <c r="A6" s="1539" t="s">
        <v>1148</v>
      </c>
      <c r="B6" s="1539" t="s">
        <v>1149</v>
      </c>
      <c r="C6" s="987">
        <f>IFERROR(IF(Priced="Priced",IF('Pricing Detail'!G5=0,"",ROUND('Pricing Detail'!G5,0)),""),"")</f>
        <v>4207500</v>
      </c>
      <c r="E6" t="str">
        <f>IF('Pricing Detail'!$E$33=0,"",'Pricing Detail'!$E$33)</f>
        <v/>
      </c>
      <c r="F6" t="str">
        <f>IF('Pricing Detail'!$F33="","",'Pricing Detail'!$F33)</f>
        <v/>
      </c>
      <c r="G6" t="str">
        <f>IF(OR('Pricing Detail'!$H$33="",'Pricing Detail'!$H$33=0),"",ROUND('Pricing Detail'!$H$33,0))</f>
        <v/>
      </c>
      <c r="H6" s="987" t="str">
        <f>IF('Pricing Detail'!$I$33="","",ROUND('Pricing Detail'!$I$33,0))</f>
        <v/>
      </c>
    </row>
    <row r="7" spans="1:8">
      <c r="A7" s="1539" t="s">
        <v>1150</v>
      </c>
      <c r="B7" s="1539" t="s">
        <v>1151</v>
      </c>
      <c r="C7" s="987">
        <f>IF('Pricing Detail'!N13=0,"",ROUND('Pricing Detail'!N13,0))</f>
        <v>445836</v>
      </c>
      <c r="E7" t="str">
        <f>IF('Pricing Detail'!$E$34=0,"",'Pricing Detail'!$E$34)</f>
        <v/>
      </c>
      <c r="F7" t="str">
        <f>IF('Pricing Detail'!$F34="","",'Pricing Detail'!$F34)</f>
        <v/>
      </c>
      <c r="G7" t="str">
        <f>IF(OR('Pricing Detail'!$H$34="",'Pricing Detail'!$H$34=0),"",ROUND('Pricing Detail'!$H$34,0))</f>
        <v/>
      </c>
      <c r="H7" s="987" t="str">
        <f>IF('Pricing Detail'!$I$34="","",ROUND('Pricing Detail'!$I$34,0))</f>
        <v/>
      </c>
    </row>
    <row r="8" spans="1:8">
      <c r="A8" s="1539" t="s">
        <v>1152</v>
      </c>
      <c r="B8" s="1539" t="s">
        <v>1153</v>
      </c>
      <c r="C8" s="987">
        <f>IF('Pricing Detail'!P13=0,"",ROUND('Pricing Detail'!P13,0))</f>
        <v>571265</v>
      </c>
    </row>
    <row r="9" spans="1:8">
      <c r="A9" s="1539" t="s">
        <v>1154</v>
      </c>
      <c r="B9" s="1539" t="s">
        <v>1155</v>
      </c>
      <c r="C9" s="987">
        <f>IFERROR(IF('Operating Statement'!O39=0,"",-ROUND('Operating Statement'!O39,0)),"")</f>
        <v>-263695</v>
      </c>
    </row>
    <row r="10" spans="1:8">
      <c r="A10" s="1539" t="s">
        <v>1156</v>
      </c>
      <c r="B10" s="1539" t="s">
        <v>1157</v>
      </c>
      <c r="C10" s="987">
        <f>IFERROR(IF('Operating Statement'!Q39=0,"",-ROUND('Operating Statement'!Q39,0)),"")</f>
        <v>-268921</v>
      </c>
    </row>
    <row r="11" spans="1:8">
      <c r="A11" s="1539" t="s">
        <v>1158</v>
      </c>
      <c r="B11" s="1539" t="s">
        <v>1159</v>
      </c>
      <c r="C11" s="987">
        <f>ROUND('Pricing Detail'!N17,0)</f>
        <v>66154</v>
      </c>
    </row>
    <row r="12" spans="1:8">
      <c r="A12" s="1539" t="s">
        <v>1160</v>
      </c>
      <c r="B12" s="1539" t="s">
        <v>1161</v>
      </c>
      <c r="C12" s="987">
        <f>ROUND('Pricing Detail'!P17,0)</f>
        <v>70060</v>
      </c>
    </row>
    <row r="13" spans="1:8">
      <c r="A13" s="1539" t="s">
        <v>1162</v>
      </c>
      <c r="B13" s="1539" t="s">
        <v>1163</v>
      </c>
      <c r="C13" s="987">
        <f>Price</f>
        <v>9350000</v>
      </c>
    </row>
    <row r="14" spans="1:8">
      <c r="A14" s="1539" t="s">
        <v>1164</v>
      </c>
      <c r="B14" s="1539" t="s">
        <v>1165</v>
      </c>
      <c r="C14" s="987">
        <f>IFERROR(IF('Pricing Detail'!N18=0,"",ROUND('Pricing Detail'!N18,0)),0)</f>
        <v>151868</v>
      </c>
    </row>
    <row r="15" spans="1:8">
      <c r="A15" s="1539" t="s">
        <v>1166</v>
      </c>
      <c r="B15" s="1539" t="s">
        <v>1167</v>
      </c>
      <c r="C15" s="987">
        <f>IFERROR(IF('Pricing Detail'!P18=0,"",ROUND('Pricing Detail'!P18,0)),0)</f>
        <v>281203</v>
      </c>
    </row>
    <row r="16" spans="1:8">
      <c r="A16" s="1539" t="s">
        <v>1168</v>
      </c>
      <c r="B16" s="1539" t="s">
        <v>1169</v>
      </c>
      <c r="C16">
        <f>IFERROR(IF(Priced="Priced",IF(SwitchAcqMethod="All Cash",ROUND((TotalReturnCurrency1Cell/Price)*100,2),ROUND((TotalReturnCurrency1Cell/DownCell)*100,2)),"-"),"")</f>
        <v>3.61</v>
      </c>
    </row>
    <row r="17" spans="1:7">
      <c r="A17" s="1539" t="s">
        <v>1170</v>
      </c>
      <c r="B17" s="1539" t="s">
        <v>1171</v>
      </c>
      <c r="C17">
        <f>IFERROR(IF(Priced="Unpriced","",IFERROR(ROUND(('Pricing Detail'!P18/'Pricing Detail'!$G$5)*100,2),IFERROR(ROUND(('Pricing Detail'!P18/'Pricing Detail'!$G$4)*100,2),0))),"")</f>
        <v>6.68</v>
      </c>
    </row>
    <row r="18" spans="1:7">
      <c r="A18" s="1539" t="s">
        <v>1172</v>
      </c>
      <c r="B18" s="1539" t="s">
        <v>11</v>
      </c>
      <c r="C18" t="str">
        <f>IF(SwitchAcqMethod="All Cash","All Cash",IF(SwitchAcqMethod="Financed - Assumed","Assumed Loan","New Loan"))</f>
        <v>New Loan</v>
      </c>
    </row>
    <row r="19" spans="1:7">
      <c r="A19" s="1539" t="s">
        <v>1173</v>
      </c>
      <c r="B19" s="1539" t="s">
        <v>1174</v>
      </c>
      <c r="C19" s="987">
        <f>IFERROR(IF('Operating Statement'!O6=0,"",ROUND('Operating Statement'!O6,0)),"")</f>
        <v>878280</v>
      </c>
      <c r="E19" t="s">
        <v>1175</v>
      </c>
    </row>
    <row r="20" spans="1:7">
      <c r="A20" s="1539" t="s">
        <v>1176</v>
      </c>
      <c r="B20" s="1539" t="s">
        <v>1177</v>
      </c>
      <c r="C20" s="987">
        <f>IFERROR(IF('Operating Statement'!Q6=0,"",ROUND('Operating Statement'!Q6,0)),"")</f>
        <v>878280</v>
      </c>
      <c r="E20" t="s">
        <v>1178</v>
      </c>
      <c r="F20" t="s">
        <v>1179</v>
      </c>
      <c r="G20" t="s">
        <v>1180</v>
      </c>
    </row>
    <row r="21" spans="1:7">
      <c r="A21" s="1539" t="s">
        <v>1181</v>
      </c>
      <c r="B21" s="1539" t="s">
        <v>1182</v>
      </c>
      <c r="C21" s="987">
        <f>IFERROR(IF('Operating Statement'!O20=0,"",ROUND('Operating Statement'!O20,0)),"")</f>
        <v>5820</v>
      </c>
    </row>
    <row r="22" spans="1:7">
      <c r="A22" s="1539" t="s">
        <v>1183</v>
      </c>
      <c r="B22" s="1539" t="s">
        <v>1184</v>
      </c>
      <c r="C22" s="987">
        <f>IFERROR(IF('Operating Statement'!Q20=0,"",ROUND('Operating Statement'!Q20,0)),"")</f>
        <v>5820</v>
      </c>
    </row>
    <row r="23" spans="1:7">
      <c r="A23" s="1539" t="s">
        <v>1185</v>
      </c>
      <c r="B23" s="1539" t="s">
        <v>1186</v>
      </c>
      <c r="C23" s="987">
        <f>IFERROR(IF('Operating Statement'!O14=0,"",ROUND(('Operating Statement'!O14)*-1,0)),"")</f>
        <v>37037</v>
      </c>
    </row>
    <row r="24" spans="1:7">
      <c r="A24" s="1539" t="s">
        <v>1187</v>
      </c>
      <c r="B24" s="1539" t="s">
        <v>1188</v>
      </c>
      <c r="C24" s="987">
        <f>IFERROR(IF('Operating Statement'!Q14=0,"",ROUND(('Operating Statement'!Q14)*-1,0)),"")</f>
        <v>43914</v>
      </c>
    </row>
    <row r="25" spans="1:7">
      <c r="A25" s="1539" t="s">
        <v>1189</v>
      </c>
      <c r="B25" s="1539" t="s">
        <v>1190</v>
      </c>
      <c r="C25">
        <f>IFERROR(ROUND(IF('Operating Statement'!P9="","",1-'Operating Statement'!P9)*100,0),"")</f>
        <v>95</v>
      </c>
    </row>
    <row r="26" spans="1:7">
      <c r="A26" s="1539" t="s">
        <v>1191</v>
      </c>
      <c r="B26" s="1539" t="s">
        <v>1192</v>
      </c>
      <c r="C26">
        <f>IFERROR(ROUND(IF('Operating Statement'!R9="","",1-'Operating Statement'!R9)*100,0),"")</f>
        <v>95</v>
      </c>
    </row>
    <row r="27" spans="1:7">
      <c r="A27" s="1539" t="s">
        <v>1193</v>
      </c>
      <c r="B27" s="1539" t="s">
        <v>1051</v>
      </c>
      <c r="C27">
        <f>IF(TotalUnits="",0,TotalUnits)</f>
        <v>27</v>
      </c>
    </row>
    <row r="28" spans="1:7">
      <c r="A28" s="1539" t="s">
        <v>1194</v>
      </c>
      <c r="B28" s="1539" t="s">
        <v>1195</v>
      </c>
    </row>
    <row r="29" spans="1:7">
      <c r="A29" s="1539" t="s">
        <v>1196</v>
      </c>
      <c r="B29" s="1539" t="s">
        <v>1197</v>
      </c>
    </row>
    <row r="30" spans="1:7">
      <c r="A30" s="1539" t="s">
        <v>1198</v>
      </c>
      <c r="B30" s="1539" t="s">
        <v>1199</v>
      </c>
    </row>
    <row r="31" spans="1:7">
      <c r="A31" s="1539" t="s">
        <v>1200</v>
      </c>
      <c r="B31" s="1539" t="s">
        <v>1201</v>
      </c>
    </row>
    <row r="32" spans="1:7">
      <c r="A32" s="1539" t="s">
        <v>1202</v>
      </c>
      <c r="B32" s="1539" t="s">
        <v>1203</v>
      </c>
    </row>
    <row r="33" spans="1:2">
      <c r="A33" s="1539" t="s">
        <v>1204</v>
      </c>
      <c r="B33" s="1539" t="s">
        <v>1205</v>
      </c>
    </row>
    <row r="34" spans="1:2">
      <c r="A34" s="1539" t="s">
        <v>1206</v>
      </c>
      <c r="B34" s="1539" t="s">
        <v>1207</v>
      </c>
    </row>
    <row r="35" spans="1:2">
      <c r="A35" s="1539" t="s">
        <v>1208</v>
      </c>
      <c r="B35" s="1539" t="s">
        <v>1209</v>
      </c>
    </row>
    <row r="36" spans="1:2">
      <c r="A36" s="1539" t="s">
        <v>1210</v>
      </c>
      <c r="B36" s="1539" t="s">
        <v>1211</v>
      </c>
    </row>
    <row r="37" spans="1:2">
      <c r="A37" s="1539" t="s">
        <v>1212</v>
      </c>
      <c r="B37" s="1539" t="s">
        <v>1213</v>
      </c>
    </row>
    <row r="38" spans="1:2">
      <c r="A38" s="1539" t="s">
        <v>1214</v>
      </c>
      <c r="B38" s="1539" t="s">
        <v>1215</v>
      </c>
    </row>
    <row r="39" spans="1:2">
      <c r="A39" s="1539" t="s">
        <v>1216</v>
      </c>
      <c r="B39" s="1539" t="s">
        <v>1217</v>
      </c>
    </row>
    <row r="40" spans="1:2">
      <c r="A40" s="1539" t="s">
        <v>1218</v>
      </c>
      <c r="B40" s="1539" t="s">
        <v>1219</v>
      </c>
    </row>
    <row r="41" spans="1:2">
      <c r="A41" s="1539" t="s">
        <v>1220</v>
      </c>
      <c r="B41" s="1539" t="s">
        <v>1221</v>
      </c>
    </row>
    <row r="42" spans="1:2">
      <c r="A42" s="1539" t="s">
        <v>1222</v>
      </c>
      <c r="B42" s="1539" t="s">
        <v>1223</v>
      </c>
    </row>
    <row r="43" spans="1:2">
      <c r="A43" s="1539" t="s">
        <v>1180</v>
      </c>
      <c r="B43" s="1539" t="s">
        <v>1224</v>
      </c>
    </row>
    <row r="44" spans="1:2">
      <c r="A44" s="1539" t="s">
        <v>1225</v>
      </c>
      <c r="B44" s="1539" t="s">
        <v>1226</v>
      </c>
    </row>
    <row r="45" spans="1:2">
      <c r="A45" s="1539" t="s">
        <v>1227</v>
      </c>
      <c r="B45" s="1539" t="s">
        <v>1228</v>
      </c>
    </row>
    <row r="46" spans="1:2">
      <c r="A46" s="1539" t="s">
        <v>1229</v>
      </c>
      <c r="B46" s="1539" t="s">
        <v>1228</v>
      </c>
    </row>
    <row r="47" spans="1:2">
      <c r="A47" s="1539" t="s">
        <v>1230</v>
      </c>
      <c r="B47" s="1539" t="s">
        <v>1231</v>
      </c>
    </row>
    <row r="48" spans="1:2">
      <c r="A48" s="1539" t="s">
        <v>1232</v>
      </c>
      <c r="B48" s="1539" t="s">
        <v>1233</v>
      </c>
    </row>
    <row r="49" spans="1:3">
      <c r="A49" s="1539" t="s">
        <v>1234</v>
      </c>
      <c r="B49" s="1539" t="s">
        <v>1175</v>
      </c>
    </row>
    <row r="50" spans="1:3">
      <c r="A50" s="1539" t="s">
        <v>1235</v>
      </c>
      <c r="B50" s="1539" t="s">
        <v>1236</v>
      </c>
    </row>
    <row r="51" spans="1:3">
      <c r="A51" s="1539" t="s">
        <v>1237</v>
      </c>
      <c r="B51" s="1539" t="s">
        <v>1238</v>
      </c>
    </row>
    <row r="52" spans="1:3">
      <c r="A52" s="1539" t="s">
        <v>1239</v>
      </c>
      <c r="B52" s="1539" t="s">
        <v>1240</v>
      </c>
    </row>
    <row r="53" spans="1:3">
      <c r="A53" s="1539" t="s">
        <v>1241</v>
      </c>
      <c r="B53" s="1539" t="s">
        <v>1242</v>
      </c>
    </row>
    <row r="54" spans="1:3">
      <c r="A54" s="1539" t="s">
        <v>1243</v>
      </c>
      <c r="B54" s="1539" t="s">
        <v>1244</v>
      </c>
      <c r="C54" s="1539"/>
    </row>
    <row r="55" spans="1:3">
      <c r="A55" s="1539" t="s">
        <v>1245</v>
      </c>
      <c r="B55" s="1539" t="s">
        <v>1246</v>
      </c>
    </row>
    <row r="56" spans="1:3">
      <c r="A56" s="1539" t="s">
        <v>1247</v>
      </c>
      <c r="B56" s="1539" t="s">
        <v>1248</v>
      </c>
    </row>
    <row r="57" spans="1:3">
      <c r="A57" s="1539" t="s">
        <v>1249</v>
      </c>
      <c r="B57" s="1539" t="s">
        <v>1250</v>
      </c>
    </row>
    <row r="58" spans="1:3">
      <c r="A58" s="1539" t="s">
        <v>1251</v>
      </c>
      <c r="B58" s="1539" t="s">
        <v>1252</v>
      </c>
    </row>
    <row r="59" spans="1:3">
      <c r="A59" s="1539" t="s">
        <v>1253</v>
      </c>
      <c r="B59" s="1539" t="s">
        <v>1254</v>
      </c>
    </row>
  </sheetData>
  <dataValidations disablePrompts="1" count="1">
    <dataValidation type="list" allowBlank="1" showInputMessage="1" showErrorMessage="1" sqref="F21:F22 F29" xr:uid="{72EF1A78-E609-42DD-B88B-74B7BD05F35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rgb="FF92D050"/>
  </sheetPr>
  <dimension ref="A1:Q9008"/>
  <sheetViews>
    <sheetView showGridLines="0" zoomScale="141" zoomScaleNormal="141" zoomScaleSheetLayoutView="25" zoomScalePageLayoutView="25" workbookViewId="0">
      <selection activeCell="F11" sqref="F11"/>
    </sheetView>
  </sheetViews>
  <sheetFormatPr defaultColWidth="8.85546875" defaultRowHeight="11.25"/>
  <cols>
    <col min="1" max="1" width="5.140625" style="21" customWidth="1"/>
    <col min="2" max="2" width="17.5703125" style="324" customWidth="1"/>
    <col min="3" max="3" width="14.28515625" style="324" bestFit="1" customWidth="1"/>
    <col min="4" max="4" width="14.42578125" style="326" customWidth="1"/>
    <col min="5" max="5" width="12.5703125" style="327" hidden="1" customWidth="1"/>
    <col min="6" max="6" width="12.42578125" style="325" hidden="1" customWidth="1"/>
    <col min="7" max="7" width="12.42578125" style="327" customWidth="1"/>
    <col min="8" max="8" width="12.42578125" style="325" customWidth="1"/>
    <col min="9" max="9" width="12.42578125" style="328" customWidth="1"/>
    <col min="10" max="10" width="12.42578125" style="325" customWidth="1"/>
    <col min="11" max="11" width="12.42578125" style="328" hidden="1" customWidth="1"/>
    <col min="12" max="12" width="12.42578125" style="325" hidden="1" customWidth="1"/>
    <col min="13" max="14" width="8.85546875" style="21"/>
    <col min="15" max="15" width="33.42578125" style="21" bestFit="1" customWidth="1"/>
    <col min="16" max="16" width="35.85546875" style="21" bestFit="1" customWidth="1"/>
    <col min="17" max="17" width="55.140625" style="21" bestFit="1" customWidth="1"/>
    <col min="18" max="18" width="8.85546875" style="21"/>
    <col min="19" max="19" width="34.42578125" style="21" customWidth="1"/>
    <col min="20" max="20" width="35.140625" style="21" bestFit="1" customWidth="1"/>
    <col min="21" max="21" width="57.42578125" style="21" bestFit="1" customWidth="1"/>
    <col min="22" max="22" width="29" style="21" bestFit="1" customWidth="1"/>
    <col min="23" max="16384" width="8.85546875" style="21"/>
  </cols>
  <sheetData>
    <row r="1" spans="1:13" ht="11.25" customHeight="1">
      <c r="A1" s="589"/>
      <c r="B1" s="589"/>
      <c r="C1" s="689"/>
      <c r="D1" s="1123" t="s">
        <v>1684</v>
      </c>
      <c r="E1" t="s">
        <v>39</v>
      </c>
      <c r="F1"/>
      <c r="G1" s="1571" t="s">
        <v>39</v>
      </c>
      <c r="H1" s="1572"/>
      <c r="I1" s="589"/>
      <c r="J1" s="589"/>
      <c r="K1" s="589"/>
      <c r="L1" s="589"/>
      <c r="M1" s="593" t="str">
        <f>IF('Rent Roll Detail Input'!$N$4="Total Gross Square Feet",TEXT('Rent Roll Detail Input'!$N$8,"#,##0"),SUM($D$8:$D$34))</f>
        <v>22,674</v>
      </c>
    </row>
    <row r="2" spans="1:13" ht="11.25" customHeight="1">
      <c r="A2" s="589"/>
      <c r="B2" s="746" t="s">
        <v>1685</v>
      </c>
      <c r="C2" s="689"/>
      <c r="D2" s="907" t="s">
        <v>1686</v>
      </c>
      <c r="E2" t="s">
        <v>716</v>
      </c>
      <c r="F2"/>
      <c r="G2" s="1569" t="s">
        <v>189</v>
      </c>
      <c r="H2" s="1570"/>
      <c r="I2" s="589"/>
      <c r="J2" s="589"/>
      <c r="K2" s="589"/>
      <c r="L2" s="589"/>
      <c r="M2" s="589"/>
    </row>
    <row r="3" spans="1:13" ht="11.25" customHeight="1">
      <c r="A3" s="589"/>
      <c r="B3" s="749" t="str">
        <f>"As of "&amp;TEXT(Input!B15,"mmmm,yyyy")</f>
        <v>As of February,2026</v>
      </c>
      <c r="C3" s="747"/>
      <c r="D3" s="747"/>
      <c r="E3" s="645"/>
      <c r="F3" s="747"/>
      <c r="G3" s="747"/>
      <c r="H3" s="747"/>
      <c r="I3" s="747"/>
      <c r="J3" s="747"/>
      <c r="K3" s="747"/>
      <c r="L3" s="747"/>
      <c r="M3" s="589"/>
    </row>
    <row r="4" spans="1:13" ht="11.25" customHeight="1">
      <c r="A4" s="589"/>
      <c r="B4" s="589"/>
      <c r="C4" s="589"/>
      <c r="D4" s="589"/>
      <c r="E4" s="589"/>
      <c r="F4" s="589"/>
      <c r="G4" s="589"/>
      <c r="H4" s="589"/>
      <c r="I4" s="589"/>
      <c r="J4" s="589"/>
      <c r="K4" s="589"/>
      <c r="L4" s="589"/>
      <c r="M4" s="589"/>
    </row>
    <row r="5" spans="1:13" ht="11.25" customHeight="1">
      <c r="A5" s="589"/>
      <c r="B5" s="750"/>
      <c r="C5" s="751"/>
      <c r="D5" s="752" t="s">
        <v>1948</v>
      </c>
      <c r="E5" s="949" t="s">
        <v>1687</v>
      </c>
      <c r="F5" s="949" t="s">
        <v>1687</v>
      </c>
      <c r="G5" s="949" t="s">
        <v>1688</v>
      </c>
      <c r="H5" s="949" t="s">
        <v>1688</v>
      </c>
      <c r="I5" s="752" t="s">
        <v>1689</v>
      </c>
      <c r="J5" s="752" t="s">
        <v>1689</v>
      </c>
      <c r="K5" s="950" t="s">
        <v>1690</v>
      </c>
      <c r="L5" s="950" t="s">
        <v>1690</v>
      </c>
      <c r="M5" s="589"/>
    </row>
    <row r="6" spans="1:13" ht="11.25" customHeight="1">
      <c r="A6" s="589"/>
      <c r="B6" s="750"/>
      <c r="C6" s="750"/>
      <c r="D6" s="752" t="str">
        <f>IF(RRDI_SFCount&gt;0,"Square","")</f>
        <v>Square</v>
      </c>
      <c r="E6" s="949" t="s">
        <v>1655</v>
      </c>
      <c r="F6" s="949" t="s">
        <v>1691</v>
      </c>
      <c r="G6" s="949" t="s">
        <v>1655</v>
      </c>
      <c r="H6" s="949" t="s">
        <v>1691</v>
      </c>
      <c r="I6" s="752" t="s">
        <v>1655</v>
      </c>
      <c r="J6" s="752" t="s">
        <v>1692</v>
      </c>
      <c r="K6" s="950" t="s">
        <v>1655</v>
      </c>
      <c r="L6" s="950" t="s">
        <v>1692</v>
      </c>
      <c r="M6" s="589"/>
    </row>
    <row r="7" spans="1:13" s="50" customFormat="1" ht="11.25" customHeight="1">
      <c r="A7" s="599"/>
      <c r="B7" s="753" t="s">
        <v>1693</v>
      </c>
      <c r="C7" s="753" t="s">
        <v>1694</v>
      </c>
      <c r="D7" s="754" t="str">
        <f>IF(RRDI_SFCount&gt;0,"Feet","")</f>
        <v>Feet</v>
      </c>
      <c r="E7" s="759" t="str">
        <f t="shared" ref="E7:L7" si="0">IF(RentTimePeriod="Monthly","Month","Year")</f>
        <v>Month</v>
      </c>
      <c r="F7" s="759" t="str">
        <f t="shared" si="0"/>
        <v>Month</v>
      </c>
      <c r="G7" s="759" t="str">
        <f t="shared" si="0"/>
        <v>Month</v>
      </c>
      <c r="H7" s="759" t="str">
        <f t="shared" si="0"/>
        <v>Month</v>
      </c>
      <c r="I7" s="754" t="str">
        <f t="shared" si="0"/>
        <v>Month</v>
      </c>
      <c r="J7" s="754" t="str">
        <f t="shared" si="0"/>
        <v>Month</v>
      </c>
      <c r="K7" s="951" t="str">
        <f t="shared" si="0"/>
        <v>Month</v>
      </c>
      <c r="L7" s="951" t="str">
        <f t="shared" si="0"/>
        <v>Month</v>
      </c>
      <c r="M7" s="599"/>
    </row>
    <row r="8" spans="1:13" s="45" customFormat="1" ht="11.25" customHeight="1">
      <c r="A8" s="598"/>
      <c r="B8" s="905" t="str">
        <f>'Rent Roll Detail Input'!G12</f>
        <v>420 -House</v>
      </c>
      <c r="C8" s="905" t="str">
        <f>'Rent Roll Detail Input'!H12</f>
        <v>4 Bed / 3 Bath House</v>
      </c>
      <c r="D8" s="996">
        <f>IF(RRDI_SFCount&gt;0,IF(OR('Rent Roll Detail Input'!I12="", 'Rent Roll Detail Input'!I12=0),"N/A", 'Rent Roll Detail Input'!I12),"")</f>
        <v>2500</v>
      </c>
      <c r="E8" s="997" t="str">
        <f>IF('Rent Roll Detail Input'!J12=0,"Vacant",IF(RentTimePeriod="Annual",'Rent Roll Detail Input'!J12*12,'Rent Roll Detail Input'!J12))</f>
        <v>Vacant</v>
      </c>
      <c r="F8" s="998">
        <f t="shared" ref="F8:F34" si="1">IF(D8="N/A","N/A",IFERROR(E8/D8,0))</f>
        <v>0</v>
      </c>
      <c r="G8" s="997">
        <f>IF(RentTimePeriod="Annual",'Rent Roll Detail Input'!K12*12,'Rent Roll Detail Input'!K12)</f>
        <v>5000</v>
      </c>
      <c r="H8" s="998">
        <f t="shared" ref="H8:H34" si="2">IF(D8="N/A","N/A",IFERROR(G8/D8,0))</f>
        <v>2</v>
      </c>
      <c r="I8" s="999">
        <f>IF(RentTimePeriod="Annual",'Rent Roll Detail Input'!L12*12,'Rent Roll Detail Input'!L12)</f>
        <v>5000</v>
      </c>
      <c r="J8" s="998">
        <f t="shared" ref="J8:J34" si="3">IF(D8="N/A","N/A",IFERROR(I8/D8,0))</f>
        <v>2</v>
      </c>
      <c r="K8" s="952">
        <f>IF(RentTimePeriod="Annual",'Rent Roll Detail Input'!M12*12,'Rent Roll Detail Input'!M12)</f>
        <v>0</v>
      </c>
      <c r="L8" s="607">
        <f t="shared" ref="L8:L34" si="4">IF(D8="N/A","N/A",IFERROR(K8/D8,0))</f>
        <v>0</v>
      </c>
      <c r="M8" s="598"/>
    </row>
    <row r="9" spans="1:13" s="45" customFormat="1" ht="11.25" customHeight="1">
      <c r="A9" s="598"/>
      <c r="B9" s="935" t="str">
        <f>'Rent Roll Detail Input'!G13</f>
        <v>420-A</v>
      </c>
      <c r="C9" s="935" t="str">
        <f>'Rent Roll Detail Input'!H13</f>
        <v>2 Bed / 1 Bath</v>
      </c>
      <c r="D9" s="993">
        <f>IF(RRDI_SFCount&gt;0,IF(OR('Rent Roll Detail Input'!I13="", 'Rent Roll Detail Input'!I13=0),"N/A", 'Rent Roll Detail Input'!I13),"")</f>
        <v>750</v>
      </c>
      <c r="E9" s="994">
        <f>IF('Rent Roll Detail Input'!J13=0,"Vacant",IF(RentTimePeriod="Annual",'Rent Roll Detail Input'!J13*12,'Rent Roll Detail Input'!J13))</f>
        <v>2040</v>
      </c>
      <c r="F9" s="995">
        <f t="shared" si="1"/>
        <v>2.72</v>
      </c>
      <c r="G9" s="994">
        <f>IF(RentTimePeriod="Annual",'Rent Roll Detail Input'!K13*12,'Rent Roll Detail Input'!K13)</f>
        <v>2040</v>
      </c>
      <c r="H9" s="995">
        <f t="shared" si="2"/>
        <v>2.72</v>
      </c>
      <c r="I9" s="1000">
        <f>IF(RentTimePeriod="Annual",'Rent Roll Detail Input'!L13*12,'Rent Roll Detail Input'!L13)</f>
        <v>2650</v>
      </c>
      <c r="J9" s="995">
        <f t="shared" si="3"/>
        <v>3.5333333333333332</v>
      </c>
      <c r="K9" s="952">
        <f>IF(RentTimePeriod="Annual",'Rent Roll Detail Input'!M13*12,'Rent Roll Detail Input'!M13)</f>
        <v>0</v>
      </c>
      <c r="L9" s="607">
        <f t="shared" si="4"/>
        <v>0</v>
      </c>
      <c r="M9" s="598"/>
    </row>
    <row r="10" spans="1:13" s="45" customFormat="1" ht="11.25" customHeight="1">
      <c r="A10" s="598"/>
      <c r="B10" s="935" t="str">
        <f>'Rent Roll Detail Input'!G14</f>
        <v>420-B</v>
      </c>
      <c r="C10" s="935" t="str">
        <f>'Rent Roll Detail Input'!H14</f>
        <v>2 Bed / 1 Bath</v>
      </c>
      <c r="D10" s="993">
        <f>IF(RRDI_SFCount&gt;0,IF(OR('Rent Roll Detail Input'!I14="", 'Rent Roll Detail Input'!I14=0),"N/A", 'Rent Roll Detail Input'!I14),"")</f>
        <v>750</v>
      </c>
      <c r="E10" s="994">
        <f>IF('Rent Roll Detail Input'!J14=0,"Vacant",IF(RentTimePeriod="Annual",'Rent Roll Detail Input'!J14*12,'Rent Roll Detail Input'!J14))</f>
        <v>2205</v>
      </c>
      <c r="F10" s="995">
        <f t="shared" si="1"/>
        <v>2.94</v>
      </c>
      <c r="G10" s="994">
        <f>IF(RentTimePeriod="Annual",'Rent Roll Detail Input'!K14*12,'Rent Roll Detail Input'!K14)</f>
        <v>2205</v>
      </c>
      <c r="H10" s="995">
        <f t="shared" si="2"/>
        <v>2.94</v>
      </c>
      <c r="I10" s="1000">
        <f>IF(RentTimePeriod="Annual",'Rent Roll Detail Input'!L14*12,'Rent Roll Detail Input'!L14)</f>
        <v>2650</v>
      </c>
      <c r="J10" s="995">
        <f t="shared" si="3"/>
        <v>3.5333333333333332</v>
      </c>
      <c r="K10" s="952">
        <f>IF(RentTimePeriod="Annual",'Rent Roll Detail Input'!M14*12,'Rent Roll Detail Input'!M14)</f>
        <v>0</v>
      </c>
      <c r="L10" s="607">
        <f t="shared" si="4"/>
        <v>0</v>
      </c>
      <c r="M10" s="598"/>
    </row>
    <row r="11" spans="1:13" s="45" customFormat="1" ht="11.25" customHeight="1">
      <c r="A11" s="598"/>
      <c r="B11" s="935" t="str">
        <f>'Rent Roll Detail Input'!G15</f>
        <v>420-C</v>
      </c>
      <c r="C11" s="935" t="str">
        <f>'Rent Roll Detail Input'!H15</f>
        <v>2 Bed / 1 Bath</v>
      </c>
      <c r="D11" s="993">
        <f>IF(RRDI_SFCount&gt;0,IF(OR('Rent Roll Detail Input'!I15="", 'Rent Roll Detail Input'!I15=0),"N/A", 'Rent Roll Detail Input'!I15),"")</f>
        <v>750</v>
      </c>
      <c r="E11" s="994">
        <f>IF('Rent Roll Detail Input'!J15=0,"Vacant",IF(RentTimePeriod="Annual",'Rent Roll Detail Input'!J15*12,'Rent Roll Detail Input'!J15))</f>
        <v>2299</v>
      </c>
      <c r="F11" s="995">
        <f t="shared" si="1"/>
        <v>3.0653333333333332</v>
      </c>
      <c r="G11" s="994">
        <f>IF(RentTimePeriod="Annual",'Rent Roll Detail Input'!K15*12,'Rent Roll Detail Input'!K15)</f>
        <v>2299</v>
      </c>
      <c r="H11" s="995">
        <f t="shared" si="2"/>
        <v>3.0653333333333332</v>
      </c>
      <c r="I11" s="1000">
        <f>IF(RentTimePeriod="Annual",'Rent Roll Detail Input'!L15*12,'Rent Roll Detail Input'!L15)</f>
        <v>2650</v>
      </c>
      <c r="J11" s="995">
        <f t="shared" si="3"/>
        <v>3.5333333333333332</v>
      </c>
      <c r="K11" s="952">
        <f>IF(RentTimePeriod="Annual",'Rent Roll Detail Input'!M15*12,'Rent Roll Detail Input'!M15)</f>
        <v>0</v>
      </c>
      <c r="L11" s="607">
        <f t="shared" si="4"/>
        <v>0</v>
      </c>
      <c r="M11" s="598"/>
    </row>
    <row r="12" spans="1:13" s="45" customFormat="1" ht="11.25" customHeight="1">
      <c r="A12" s="598"/>
      <c r="B12" s="935" t="str">
        <f>'Rent Roll Detail Input'!G16</f>
        <v>420-D</v>
      </c>
      <c r="C12" s="935" t="str">
        <f>'Rent Roll Detail Input'!H16</f>
        <v>1 Bed / 1 Bath</v>
      </c>
      <c r="D12" s="993">
        <f>IF(RRDI_SFCount&gt;0,IF(OR('Rent Roll Detail Input'!I16="", 'Rent Roll Detail Input'!I16=0),"N/A", 'Rent Roll Detail Input'!I16),"")</f>
        <v>650</v>
      </c>
      <c r="E12" s="994">
        <f>IF('Rent Roll Detail Input'!J16=0,"Vacant",IF(RentTimePeriod="Annual",'Rent Roll Detail Input'!J16*12,'Rent Roll Detail Input'!J16))</f>
        <v>1895</v>
      </c>
      <c r="F12" s="995">
        <f t="shared" si="1"/>
        <v>2.9153846153846152</v>
      </c>
      <c r="G12" s="994">
        <f>IF(RentTimePeriod="Annual",'Rent Roll Detail Input'!K16*12,'Rent Roll Detail Input'!K16)</f>
        <v>1895</v>
      </c>
      <c r="H12" s="995">
        <f t="shared" si="2"/>
        <v>2.9153846153846152</v>
      </c>
      <c r="I12" s="1000">
        <f>IF(RentTimePeriod="Annual",'Rent Roll Detail Input'!L16*12,'Rent Roll Detail Input'!L16)</f>
        <v>2295</v>
      </c>
      <c r="J12" s="995">
        <f t="shared" si="3"/>
        <v>3.5307692307692307</v>
      </c>
      <c r="K12" s="952">
        <f>IF(RentTimePeriod="Annual",'Rent Roll Detail Input'!M16*12,'Rent Roll Detail Input'!M16)</f>
        <v>0</v>
      </c>
      <c r="L12" s="607">
        <f t="shared" si="4"/>
        <v>0</v>
      </c>
      <c r="M12" s="598"/>
    </row>
    <row r="13" spans="1:13" s="45" customFormat="1" ht="11.25" customHeight="1">
      <c r="A13" s="598"/>
      <c r="B13" s="935" t="str">
        <f>'Rent Roll Detail Input'!G17</f>
        <v>420-E</v>
      </c>
      <c r="C13" s="935" t="str">
        <f>'Rent Roll Detail Input'!H17</f>
        <v>2 Bed / 1 Bath (vacant)</v>
      </c>
      <c r="D13" s="993">
        <f>IF(RRDI_SFCount&gt;0,IF(OR('Rent Roll Detail Input'!I17="", 'Rent Roll Detail Input'!I17=0),"N/A", 'Rent Roll Detail Input'!I17),"")</f>
        <v>750</v>
      </c>
      <c r="E13" s="994" t="str">
        <f>IF('Rent Roll Detail Input'!J17=0,"Vacant",IF(RentTimePeriod="Annual",'Rent Roll Detail Input'!J17*12,'Rent Roll Detail Input'!J17))</f>
        <v>Vacant</v>
      </c>
      <c r="F13" s="995">
        <f t="shared" si="1"/>
        <v>0</v>
      </c>
      <c r="G13" s="994">
        <f>IF(RentTimePeriod="Annual",'Rent Roll Detail Input'!K17*12,'Rent Roll Detail Input'!K17)</f>
        <v>2650</v>
      </c>
      <c r="H13" s="995">
        <f t="shared" si="2"/>
        <v>3.5333333333333332</v>
      </c>
      <c r="I13" s="1000">
        <f>IF(RentTimePeriod="Annual",'Rent Roll Detail Input'!L17*12,'Rent Roll Detail Input'!L17)</f>
        <v>2650</v>
      </c>
      <c r="J13" s="995">
        <f t="shared" si="3"/>
        <v>3.5333333333333332</v>
      </c>
      <c r="K13" s="952">
        <f>IF(RentTimePeriod="Annual",'Rent Roll Detail Input'!M17*12,'Rent Roll Detail Input'!M17)</f>
        <v>0</v>
      </c>
      <c r="L13" s="607">
        <f t="shared" si="4"/>
        <v>0</v>
      </c>
      <c r="M13" s="598"/>
    </row>
    <row r="14" spans="1:13" s="45" customFormat="1" ht="11.25" customHeight="1">
      <c r="A14" s="598"/>
      <c r="B14" s="935" t="str">
        <f>'Rent Roll Detail Input'!G18</f>
        <v>420-F</v>
      </c>
      <c r="C14" s="935" t="str">
        <f>'Rent Roll Detail Input'!H18</f>
        <v>2 Bed / 1 Bath</v>
      </c>
      <c r="D14" s="993">
        <f>IF(RRDI_SFCount&gt;0,IF(OR('Rent Roll Detail Input'!I18="", 'Rent Roll Detail Input'!I18=0),"N/A", 'Rent Roll Detail Input'!I18),"")</f>
        <v>750</v>
      </c>
      <c r="E14" s="994">
        <f>IF('Rent Roll Detail Input'!J18=0,"Vacant",IF(RentTimePeriod="Annual",'Rent Roll Detail Input'!J18*12,'Rent Roll Detail Input'!J18))</f>
        <v>2050</v>
      </c>
      <c r="F14" s="995">
        <f t="shared" si="1"/>
        <v>2.7333333333333334</v>
      </c>
      <c r="G14" s="994">
        <f>IF(RentTimePeriod="Annual",'Rent Roll Detail Input'!K18*12,'Rent Roll Detail Input'!K18)</f>
        <v>2050</v>
      </c>
      <c r="H14" s="995">
        <f t="shared" si="2"/>
        <v>2.7333333333333334</v>
      </c>
      <c r="I14" s="1000">
        <f>IF(RentTimePeriod="Annual",'Rent Roll Detail Input'!L18*12,'Rent Roll Detail Input'!L18)</f>
        <v>2650</v>
      </c>
      <c r="J14" s="995">
        <f t="shared" si="3"/>
        <v>3.5333333333333332</v>
      </c>
      <c r="K14" s="952">
        <f>IF(RentTimePeriod="Annual",'Rent Roll Detail Input'!M18*12,'Rent Roll Detail Input'!M18)</f>
        <v>0</v>
      </c>
      <c r="L14" s="607">
        <f t="shared" si="4"/>
        <v>0</v>
      </c>
      <c r="M14" s="598"/>
    </row>
    <row r="15" spans="1:13" s="45" customFormat="1" ht="11.25" customHeight="1">
      <c r="A15" s="598"/>
      <c r="B15" s="935" t="str">
        <f>'Rent Roll Detail Input'!G19</f>
        <v>420-G</v>
      </c>
      <c r="C15" s="935" t="str">
        <f>'Rent Roll Detail Input'!H19</f>
        <v>2 Bed / 1 Bath</v>
      </c>
      <c r="D15" s="993">
        <f>IF(RRDI_SFCount&gt;0,IF(OR('Rent Roll Detail Input'!I19="", 'Rent Roll Detail Input'!I19=0),"N/A", 'Rent Roll Detail Input'!I19),"")</f>
        <v>750</v>
      </c>
      <c r="E15" s="994">
        <f>IF('Rent Roll Detail Input'!J19=0,"Vacant",IF(RentTimePeriod="Annual",'Rent Roll Detail Input'!J19*12,'Rent Roll Detail Input'!J19))</f>
        <v>2050</v>
      </c>
      <c r="F15" s="995">
        <f t="shared" si="1"/>
        <v>2.7333333333333334</v>
      </c>
      <c r="G15" s="994">
        <f>IF(RentTimePeriod="Annual",'Rent Roll Detail Input'!K19*12,'Rent Roll Detail Input'!K19)</f>
        <v>2050</v>
      </c>
      <c r="H15" s="995">
        <f t="shared" si="2"/>
        <v>2.7333333333333334</v>
      </c>
      <c r="I15" s="1000">
        <f>IF(RentTimePeriod="Annual",'Rent Roll Detail Input'!L19*12,'Rent Roll Detail Input'!L19)</f>
        <v>2650</v>
      </c>
      <c r="J15" s="995">
        <f t="shared" si="3"/>
        <v>3.5333333333333332</v>
      </c>
      <c r="K15" s="952">
        <f>IF(RentTimePeriod="Annual",'Rent Roll Detail Input'!M19*12,'Rent Roll Detail Input'!M19)</f>
        <v>0</v>
      </c>
      <c r="L15" s="607">
        <f t="shared" si="4"/>
        <v>0</v>
      </c>
      <c r="M15" s="598"/>
    </row>
    <row r="16" spans="1:13" s="45" customFormat="1" ht="11.25" customHeight="1">
      <c r="A16" s="598"/>
      <c r="B16" s="935" t="str">
        <f>'Rent Roll Detail Input'!G20</f>
        <v>420-H</v>
      </c>
      <c r="C16" s="935" t="str">
        <f>'Rent Roll Detail Input'!H20</f>
        <v>1 Bed / 1 Bath</v>
      </c>
      <c r="D16" s="993">
        <f>IF(RRDI_SFCount&gt;0,IF(OR('Rent Roll Detail Input'!I20="", 'Rent Roll Detail Input'!I20=0),"N/A", 'Rent Roll Detail Input'!I20),"")</f>
        <v>650</v>
      </c>
      <c r="E16" s="994">
        <f>IF('Rent Roll Detail Input'!J20=0,"Vacant",IF(RentTimePeriod="Annual",'Rent Roll Detail Input'!J20*12,'Rent Roll Detail Input'!J20))</f>
        <v>1950</v>
      </c>
      <c r="F16" s="995">
        <f t="shared" si="1"/>
        <v>3</v>
      </c>
      <c r="G16" s="994">
        <f>IF(RentTimePeriod="Annual",'Rent Roll Detail Input'!K20*12,'Rent Roll Detail Input'!K20)</f>
        <v>1950</v>
      </c>
      <c r="H16" s="995">
        <f t="shared" si="2"/>
        <v>3</v>
      </c>
      <c r="I16" s="1000">
        <f>IF(RentTimePeriod="Annual",'Rent Roll Detail Input'!L20*12,'Rent Roll Detail Input'!L20)</f>
        <v>2295</v>
      </c>
      <c r="J16" s="995">
        <f t="shared" si="3"/>
        <v>3.5307692307692307</v>
      </c>
      <c r="K16" s="952">
        <f>IF(RentTimePeriod="Annual",'Rent Roll Detail Input'!M20*12,'Rent Roll Detail Input'!M20)</f>
        <v>0</v>
      </c>
      <c r="L16" s="607">
        <f t="shared" si="4"/>
        <v>0</v>
      </c>
      <c r="M16" s="598"/>
    </row>
    <row r="17" spans="1:13" s="45" customFormat="1" ht="11.25" customHeight="1">
      <c r="A17" s="598"/>
      <c r="B17" s="935" t="str">
        <f>'Rent Roll Detail Input'!G21</f>
        <v>428-1</v>
      </c>
      <c r="C17" s="935" t="str">
        <f>'Rent Roll Detail Input'!H21</f>
        <v>2 Bed / 1 Bath</v>
      </c>
      <c r="D17" s="993">
        <f>IF(RRDI_SFCount&gt;0,IF(OR('Rent Roll Detail Input'!I21="", 'Rent Roll Detail Input'!I21=0),"N/A", 'Rent Roll Detail Input'!I21),"")</f>
        <v>750</v>
      </c>
      <c r="E17" s="994">
        <f>IF('Rent Roll Detail Input'!J21=0,"Vacant",IF(RentTimePeriod="Annual",'Rent Roll Detail Input'!J21*12,'Rent Roll Detail Input'!J21))</f>
        <v>2040</v>
      </c>
      <c r="F17" s="995">
        <f t="shared" si="1"/>
        <v>2.72</v>
      </c>
      <c r="G17" s="994">
        <f>IF(RentTimePeriod="Annual",'Rent Roll Detail Input'!K21*12,'Rent Roll Detail Input'!K21)</f>
        <v>2040</v>
      </c>
      <c r="H17" s="995">
        <f t="shared" si="2"/>
        <v>2.72</v>
      </c>
      <c r="I17" s="1000">
        <f>IF(RentTimePeriod="Annual",'Rent Roll Detail Input'!L21*12,'Rent Roll Detail Input'!L21)</f>
        <v>2650</v>
      </c>
      <c r="J17" s="995">
        <f t="shared" si="3"/>
        <v>3.5333333333333332</v>
      </c>
      <c r="K17" s="952">
        <f>IF(RentTimePeriod="Annual",'Rent Roll Detail Input'!M21*12,'Rent Roll Detail Input'!M21)</f>
        <v>0</v>
      </c>
      <c r="L17" s="607">
        <f t="shared" si="4"/>
        <v>0</v>
      </c>
      <c r="M17" s="598"/>
    </row>
    <row r="18" spans="1:13" s="45" customFormat="1" ht="11.25" customHeight="1">
      <c r="A18" s="598"/>
      <c r="B18" s="935" t="str">
        <f>'Rent Roll Detail Input'!G22</f>
        <v>428-2</v>
      </c>
      <c r="C18" s="935" t="str">
        <f>'Rent Roll Detail Input'!H22</f>
        <v>2 Bed / 1 Bath</v>
      </c>
      <c r="D18" s="993">
        <f>IF(RRDI_SFCount&gt;0,IF(OR('Rent Roll Detail Input'!I22="", 'Rent Roll Detail Input'!I22=0),"N/A", 'Rent Roll Detail Input'!I22),"")</f>
        <v>750</v>
      </c>
      <c r="E18" s="994">
        <f>IF('Rent Roll Detail Input'!J22=0,"Vacant",IF(RentTimePeriod="Annual",'Rent Roll Detail Input'!J22*12,'Rent Roll Detail Input'!J22))</f>
        <v>2395</v>
      </c>
      <c r="F18" s="995">
        <f t="shared" si="1"/>
        <v>3.1933333333333334</v>
      </c>
      <c r="G18" s="994">
        <f>IF(RentTimePeriod="Annual",'Rent Roll Detail Input'!K22*12,'Rent Roll Detail Input'!K22)</f>
        <v>2395</v>
      </c>
      <c r="H18" s="995">
        <f t="shared" si="2"/>
        <v>3.1933333333333334</v>
      </c>
      <c r="I18" s="1000">
        <f>IF(RentTimePeriod="Annual",'Rent Roll Detail Input'!L22*12,'Rent Roll Detail Input'!L22)</f>
        <v>2650</v>
      </c>
      <c r="J18" s="995">
        <f t="shared" si="3"/>
        <v>3.5333333333333332</v>
      </c>
      <c r="K18" s="952">
        <f>IF(RentTimePeriod="Annual",'Rent Roll Detail Input'!M22*12,'Rent Roll Detail Input'!M22)</f>
        <v>0</v>
      </c>
      <c r="L18" s="607">
        <f t="shared" si="4"/>
        <v>0</v>
      </c>
      <c r="M18" s="598"/>
    </row>
    <row r="19" spans="1:13" s="45" customFormat="1" ht="11.25" customHeight="1">
      <c r="A19" s="598"/>
      <c r="B19" s="935" t="str">
        <f>'Rent Roll Detail Input'!G23</f>
        <v>428-3</v>
      </c>
      <c r="C19" s="935" t="str">
        <f>'Rent Roll Detail Input'!H23</f>
        <v>2 Bed / 1 Bath</v>
      </c>
      <c r="D19" s="993">
        <f>IF(RRDI_SFCount&gt;0,IF(OR('Rent Roll Detail Input'!I23="", 'Rent Roll Detail Input'!I23=0),"N/A", 'Rent Roll Detail Input'!I23),"")</f>
        <v>750</v>
      </c>
      <c r="E19" s="994">
        <f>IF('Rent Roll Detail Input'!J23=0,"Vacant",IF(RentTimePeriod="Annual",'Rent Roll Detail Input'!J23*12,'Rent Roll Detail Input'!J23))</f>
        <v>2475</v>
      </c>
      <c r="F19" s="995">
        <f t="shared" si="1"/>
        <v>3.3</v>
      </c>
      <c r="G19" s="994">
        <f>IF(RentTimePeriod="Annual",'Rent Roll Detail Input'!K23*12,'Rent Roll Detail Input'!K23)</f>
        <v>2475</v>
      </c>
      <c r="H19" s="995">
        <f t="shared" si="2"/>
        <v>3.3</v>
      </c>
      <c r="I19" s="1000">
        <f>IF(RentTimePeriod="Annual",'Rent Roll Detail Input'!L23*12,'Rent Roll Detail Input'!L23)</f>
        <v>2650</v>
      </c>
      <c r="J19" s="995">
        <f t="shared" si="3"/>
        <v>3.5333333333333332</v>
      </c>
      <c r="K19" s="952">
        <f>IF(RentTimePeriod="Annual",'Rent Roll Detail Input'!M23*12,'Rent Roll Detail Input'!M23)</f>
        <v>0</v>
      </c>
      <c r="L19" s="607">
        <f t="shared" si="4"/>
        <v>0</v>
      </c>
      <c r="M19" s="598"/>
    </row>
    <row r="20" spans="1:13" s="45" customFormat="1" ht="11.25" customHeight="1">
      <c r="A20" s="598"/>
      <c r="B20" s="935" t="str">
        <f>'Rent Roll Detail Input'!G24</f>
        <v>428-4</v>
      </c>
      <c r="C20" s="935" t="str">
        <f>'Rent Roll Detail Input'!H24</f>
        <v>2 Bed / 1 Bath</v>
      </c>
      <c r="D20" s="993">
        <f>IF(RRDI_SFCount&gt;0,IF(OR('Rent Roll Detail Input'!I24="", 'Rent Roll Detail Input'!I24=0),"N/A", 'Rent Roll Detail Input'!I24),"")</f>
        <v>750</v>
      </c>
      <c r="E20" s="994">
        <f>IF('Rent Roll Detail Input'!J24=0,"Vacant",IF(RentTimePeriod="Annual",'Rent Roll Detail Input'!J24*12,'Rent Roll Detail Input'!J24))</f>
        <v>2195</v>
      </c>
      <c r="F20" s="995">
        <f t="shared" si="1"/>
        <v>2.9266666666666667</v>
      </c>
      <c r="G20" s="994">
        <f>IF(RentTimePeriod="Annual",'Rent Roll Detail Input'!K24*12,'Rent Roll Detail Input'!K24)</f>
        <v>2195</v>
      </c>
      <c r="H20" s="995">
        <f t="shared" si="2"/>
        <v>2.9266666666666667</v>
      </c>
      <c r="I20" s="1000">
        <f>IF(RentTimePeriod="Annual",'Rent Roll Detail Input'!L24*12,'Rent Roll Detail Input'!L24)</f>
        <v>2650</v>
      </c>
      <c r="J20" s="995">
        <f t="shared" si="3"/>
        <v>3.5333333333333332</v>
      </c>
      <c r="K20" s="952">
        <f>IF(RentTimePeriod="Annual",'Rent Roll Detail Input'!M24*12,'Rent Roll Detail Input'!M24)</f>
        <v>0</v>
      </c>
      <c r="L20" s="607">
        <f t="shared" si="4"/>
        <v>0</v>
      </c>
      <c r="M20" s="598"/>
    </row>
    <row r="21" spans="1:13" s="45" customFormat="1" ht="11.25" customHeight="1">
      <c r="A21" s="598"/>
      <c r="B21" s="935" t="str">
        <f>'Rent Roll Detail Input'!G25</f>
        <v>428-5</v>
      </c>
      <c r="C21" s="935" t="str">
        <f>'Rent Roll Detail Input'!H25</f>
        <v>2 Bed / 1 Bath</v>
      </c>
      <c r="D21" s="993">
        <f>IF(RRDI_SFCount&gt;0,IF(OR('Rent Roll Detail Input'!I25="", 'Rent Roll Detail Input'!I25=0),"N/A", 'Rent Roll Detail Input'!I25),"")</f>
        <v>750</v>
      </c>
      <c r="E21" s="994">
        <f>IF('Rent Roll Detail Input'!J25=0,"Vacant",IF(RentTimePeriod="Annual",'Rent Roll Detail Input'!J25*12,'Rent Roll Detail Input'!J25))</f>
        <v>2150</v>
      </c>
      <c r="F21" s="995">
        <f t="shared" si="1"/>
        <v>2.8666666666666667</v>
      </c>
      <c r="G21" s="994">
        <f>IF(RentTimePeriod="Annual",'Rent Roll Detail Input'!K25*12,'Rent Roll Detail Input'!K25)</f>
        <v>2150</v>
      </c>
      <c r="H21" s="995">
        <f t="shared" si="2"/>
        <v>2.8666666666666667</v>
      </c>
      <c r="I21" s="1000">
        <f>IF(RentTimePeriod="Annual",'Rent Roll Detail Input'!L25*12,'Rent Roll Detail Input'!L25)</f>
        <v>2650</v>
      </c>
      <c r="J21" s="995">
        <f t="shared" si="3"/>
        <v>3.5333333333333332</v>
      </c>
      <c r="K21" s="952">
        <f>IF(RentTimePeriod="Annual",'Rent Roll Detail Input'!M25*12,'Rent Roll Detail Input'!M25)</f>
        <v>0</v>
      </c>
      <c r="L21" s="607">
        <f t="shared" si="4"/>
        <v>0</v>
      </c>
      <c r="M21" s="598"/>
    </row>
    <row r="22" spans="1:13" s="45" customFormat="1" ht="11.25" customHeight="1">
      <c r="A22" s="598"/>
      <c r="B22" s="935" t="str">
        <f>'Rent Roll Detail Input'!G26</f>
        <v>428-6</v>
      </c>
      <c r="C22" s="935" t="str">
        <f>'Rent Roll Detail Input'!H26</f>
        <v>2 Bed / 1 Bath</v>
      </c>
      <c r="D22" s="993">
        <f>IF(RRDI_SFCount&gt;0,IF(OR('Rent Roll Detail Input'!I26="", 'Rent Roll Detail Input'!I26=0),"N/A", 'Rent Roll Detail Input'!I26),"")</f>
        <v>750</v>
      </c>
      <c r="E22" s="994">
        <f>IF('Rent Roll Detail Input'!J26=0,"Vacant",IF(RentTimePeriod="Annual",'Rent Roll Detail Input'!J26*12,'Rent Roll Detail Input'!J26))</f>
        <v>2630</v>
      </c>
      <c r="F22" s="995">
        <f t="shared" si="1"/>
        <v>3.5066666666666668</v>
      </c>
      <c r="G22" s="994">
        <f>IF(RentTimePeriod="Annual",'Rent Roll Detail Input'!K26*12,'Rent Roll Detail Input'!K26)</f>
        <v>2630</v>
      </c>
      <c r="H22" s="995">
        <f t="shared" si="2"/>
        <v>3.5066666666666668</v>
      </c>
      <c r="I22" s="1000">
        <f>IF(RentTimePeriod="Annual",'Rent Roll Detail Input'!L26*12,'Rent Roll Detail Input'!L26)</f>
        <v>2650</v>
      </c>
      <c r="J22" s="995">
        <f t="shared" si="3"/>
        <v>3.5333333333333332</v>
      </c>
      <c r="K22" s="952">
        <f>IF(RentTimePeriod="Annual",'Rent Roll Detail Input'!M26*12,'Rent Roll Detail Input'!M26)</f>
        <v>0</v>
      </c>
      <c r="L22" s="607">
        <f t="shared" si="4"/>
        <v>0</v>
      </c>
      <c r="M22" s="598"/>
    </row>
    <row r="23" spans="1:13" s="45" customFormat="1" ht="11.25" customHeight="1">
      <c r="A23" s="598"/>
      <c r="B23" s="935" t="str">
        <f>'Rent Roll Detail Input'!G27</f>
        <v>428-7</v>
      </c>
      <c r="C23" s="935" t="str">
        <f>'Rent Roll Detail Input'!H27</f>
        <v>2 Bed / 1 Bath</v>
      </c>
      <c r="D23" s="993">
        <f>IF(RRDI_SFCount&gt;0,IF(OR('Rent Roll Detail Input'!I27="", 'Rent Roll Detail Input'!I27=0),"N/A", 'Rent Roll Detail Input'!I27),"")</f>
        <v>750</v>
      </c>
      <c r="E23" s="994">
        <f>IF('Rent Roll Detail Input'!J27=0,"Vacant",IF(RentTimePeriod="Annual",'Rent Roll Detail Input'!J27*12,'Rent Roll Detail Input'!J27))</f>
        <v>2100</v>
      </c>
      <c r="F23" s="995">
        <f t="shared" si="1"/>
        <v>2.8</v>
      </c>
      <c r="G23" s="994">
        <f>IF(RentTimePeriod="Annual",'Rent Roll Detail Input'!K27*12,'Rent Roll Detail Input'!K27)</f>
        <v>2100</v>
      </c>
      <c r="H23" s="995">
        <f t="shared" si="2"/>
        <v>2.8</v>
      </c>
      <c r="I23" s="1000">
        <f>IF(RentTimePeriod="Annual",'Rent Roll Detail Input'!L27*12,'Rent Roll Detail Input'!L27)</f>
        <v>2650</v>
      </c>
      <c r="J23" s="995">
        <f t="shared" si="3"/>
        <v>3.5333333333333332</v>
      </c>
      <c r="K23" s="952">
        <f>IF(RentTimePeriod="Annual",'Rent Roll Detail Input'!M27*12,'Rent Roll Detail Input'!M27)</f>
        <v>0</v>
      </c>
      <c r="L23" s="607">
        <f t="shared" si="4"/>
        <v>0</v>
      </c>
      <c r="M23" s="598"/>
    </row>
    <row r="24" spans="1:13" s="45" customFormat="1" ht="11.25" customHeight="1">
      <c r="A24" s="598"/>
      <c r="B24" s="935" t="str">
        <f>'Rent Roll Detail Input'!G28</f>
        <v>428-8</v>
      </c>
      <c r="C24" s="935" t="str">
        <f>'Rent Roll Detail Input'!H28</f>
        <v>2 Bed / 1 Bath</v>
      </c>
      <c r="D24" s="993">
        <f>IF(RRDI_SFCount&gt;0,IF(OR('Rent Roll Detail Input'!I28="", 'Rent Roll Detail Input'!I28=0),"N/A", 'Rent Roll Detail Input'!I28),"")</f>
        <v>750</v>
      </c>
      <c r="E24" s="994">
        <f>IF('Rent Roll Detail Input'!J28=0,"Vacant",IF(RentTimePeriod="Annual",'Rent Roll Detail Input'!J28*12,'Rent Roll Detail Input'!J28))</f>
        <v>2310</v>
      </c>
      <c r="F24" s="995">
        <f t="shared" si="1"/>
        <v>3.08</v>
      </c>
      <c r="G24" s="994">
        <f>IF(RentTimePeriod="Annual",'Rent Roll Detail Input'!K28*12,'Rent Roll Detail Input'!K28)</f>
        <v>2310</v>
      </c>
      <c r="H24" s="995">
        <f t="shared" si="2"/>
        <v>3.08</v>
      </c>
      <c r="I24" s="1000">
        <f>IF(RentTimePeriod="Annual",'Rent Roll Detail Input'!L28*12,'Rent Roll Detail Input'!L28)</f>
        <v>2650</v>
      </c>
      <c r="J24" s="995">
        <f t="shared" si="3"/>
        <v>3.5333333333333332</v>
      </c>
      <c r="K24" s="952">
        <f>IF(RentTimePeriod="Annual",'Rent Roll Detail Input'!M28*12,'Rent Roll Detail Input'!M28)</f>
        <v>0</v>
      </c>
      <c r="L24" s="607">
        <f t="shared" si="4"/>
        <v>0</v>
      </c>
      <c r="M24" s="598"/>
    </row>
    <row r="25" spans="1:13" s="45" customFormat="1" ht="11.25" customHeight="1">
      <c r="A25" s="598"/>
      <c r="B25" s="935" t="str">
        <f>'Rent Roll Detail Input'!G29</f>
        <v>428-9</v>
      </c>
      <c r="C25" s="935" t="str">
        <f>'Rent Roll Detail Input'!H29</f>
        <v>2 Bed / 1 Bath</v>
      </c>
      <c r="D25" s="993">
        <f>IF(RRDI_SFCount&gt;0,IF(OR('Rent Roll Detail Input'!I29="", 'Rent Roll Detail Input'!I29=0),"N/A", 'Rent Roll Detail Input'!I29),"")</f>
        <v>750</v>
      </c>
      <c r="E25" s="994">
        <f>IF('Rent Roll Detail Input'!J29=0,"Vacant",IF(RentTimePeriod="Annual",'Rent Roll Detail Input'!J29*12,'Rent Roll Detail Input'!J29))</f>
        <v>900</v>
      </c>
      <c r="F25" s="995">
        <f t="shared" si="1"/>
        <v>1.2</v>
      </c>
      <c r="G25" s="994">
        <f>IF(RentTimePeriod="Annual",'Rent Roll Detail Input'!K29*12,'Rent Roll Detail Input'!K29)</f>
        <v>900</v>
      </c>
      <c r="H25" s="995">
        <f t="shared" si="2"/>
        <v>1.2</v>
      </c>
      <c r="I25" s="1000">
        <f>IF(RentTimePeriod="Annual",'Rent Roll Detail Input'!L29*12,'Rent Roll Detail Input'!L29)</f>
        <v>2650</v>
      </c>
      <c r="J25" s="995">
        <f t="shared" si="3"/>
        <v>3.5333333333333332</v>
      </c>
      <c r="K25" s="952">
        <f>IF(RentTimePeriod="Annual",'Rent Roll Detail Input'!M29*12,'Rent Roll Detail Input'!M29)</f>
        <v>0</v>
      </c>
      <c r="L25" s="607">
        <f t="shared" si="4"/>
        <v>0</v>
      </c>
      <c r="M25" s="598"/>
    </row>
    <row r="26" spans="1:13" s="45" customFormat="1" ht="11.25" customHeight="1">
      <c r="A26" s="598"/>
      <c r="B26" s="935" t="str">
        <f>'Rent Roll Detail Input'!G30</f>
        <v>428-10</v>
      </c>
      <c r="C26" s="935" t="str">
        <f>'Rent Roll Detail Input'!H30</f>
        <v>2 Bed / 1 Bath</v>
      </c>
      <c r="D26" s="993">
        <f>IF(RRDI_SFCount&gt;0,IF(OR('Rent Roll Detail Input'!I30="", 'Rent Roll Detail Input'!I30=0),"N/A", 'Rent Roll Detail Input'!I30),"")</f>
        <v>750</v>
      </c>
      <c r="E26" s="994">
        <f>IF('Rent Roll Detail Input'!J30=0,"Vacant",IF(RentTimePeriod="Annual",'Rent Roll Detail Input'!J30*12,'Rent Roll Detail Input'!J30))</f>
        <v>2380</v>
      </c>
      <c r="F26" s="995">
        <f t="shared" si="1"/>
        <v>3.1733333333333333</v>
      </c>
      <c r="G26" s="994">
        <f>IF(RentTimePeriod="Annual",'Rent Roll Detail Input'!K30*12,'Rent Roll Detail Input'!K30)</f>
        <v>2380</v>
      </c>
      <c r="H26" s="995">
        <f t="shared" si="2"/>
        <v>3.1733333333333333</v>
      </c>
      <c r="I26" s="1000">
        <f>IF(RentTimePeriod="Annual",'Rent Roll Detail Input'!L30*12,'Rent Roll Detail Input'!L30)</f>
        <v>2650</v>
      </c>
      <c r="J26" s="995">
        <f t="shared" si="3"/>
        <v>3.5333333333333332</v>
      </c>
      <c r="K26" s="952">
        <f>IF(RentTimePeriod="Annual",'Rent Roll Detail Input'!M30*12,'Rent Roll Detail Input'!M30)</f>
        <v>0</v>
      </c>
      <c r="L26" s="607">
        <f t="shared" si="4"/>
        <v>0</v>
      </c>
      <c r="M26" s="598"/>
    </row>
    <row r="27" spans="1:13" s="45" customFormat="1" ht="11.25" customHeight="1">
      <c r="A27" s="598"/>
      <c r="B27" s="935" t="str">
        <f>'Rent Roll Detail Input'!G31</f>
        <v>428-11</v>
      </c>
      <c r="C27" s="935" t="str">
        <f>'Rent Roll Detail Input'!H31</f>
        <v>2 Bed / 1 Bath (vacant)</v>
      </c>
      <c r="D27" s="993">
        <f>IF(RRDI_SFCount&gt;0,IF(OR('Rent Roll Detail Input'!I31="", 'Rent Roll Detail Input'!I31=0),"N/A", 'Rent Roll Detail Input'!I31),"")</f>
        <v>750</v>
      </c>
      <c r="E27" s="994" t="str">
        <f>IF('Rent Roll Detail Input'!J31=0,"Vacant",IF(RentTimePeriod="Annual",'Rent Roll Detail Input'!J31*12,'Rent Roll Detail Input'!J31))</f>
        <v>Vacant</v>
      </c>
      <c r="F27" s="995">
        <f t="shared" si="1"/>
        <v>0</v>
      </c>
      <c r="G27" s="994">
        <f>IF(RentTimePeriod="Annual",'Rent Roll Detail Input'!K31*12,'Rent Roll Detail Input'!K31)</f>
        <v>2650</v>
      </c>
      <c r="H27" s="995">
        <f t="shared" si="2"/>
        <v>3.5333333333333332</v>
      </c>
      <c r="I27" s="1000">
        <f>IF(RentTimePeriod="Annual",'Rent Roll Detail Input'!L31*12,'Rent Roll Detail Input'!L31)</f>
        <v>2650</v>
      </c>
      <c r="J27" s="995">
        <f t="shared" si="3"/>
        <v>3.5333333333333332</v>
      </c>
      <c r="K27" s="952">
        <f>IF(RentTimePeriod="Annual",'Rent Roll Detail Input'!M31*12,'Rent Roll Detail Input'!M31)</f>
        <v>0</v>
      </c>
      <c r="L27" s="607">
        <f t="shared" si="4"/>
        <v>0</v>
      </c>
      <c r="M27" s="598"/>
    </row>
    <row r="28" spans="1:13" s="45" customFormat="1" ht="11.25" customHeight="1">
      <c r="A28" s="598"/>
      <c r="B28" s="935" t="str">
        <f>'Rent Roll Detail Input'!G32</f>
        <v>428-12</v>
      </c>
      <c r="C28" s="935" t="str">
        <f>'Rent Roll Detail Input'!H32</f>
        <v>2 Bed / 1 Bath</v>
      </c>
      <c r="D28" s="993">
        <f>IF(RRDI_SFCount&gt;0,IF(OR('Rent Roll Detail Input'!I32="", 'Rent Roll Detail Input'!I32=0),"N/A", 'Rent Roll Detail Input'!I32),"")</f>
        <v>750</v>
      </c>
      <c r="E28" s="994">
        <f>IF('Rent Roll Detail Input'!J32=0,"Vacant",IF(RentTimePeriod="Annual",'Rent Roll Detail Input'!J32*12,'Rent Roll Detail Input'!J32))</f>
        <v>2365</v>
      </c>
      <c r="F28" s="995">
        <f t="shared" si="1"/>
        <v>3.1533333333333333</v>
      </c>
      <c r="G28" s="994">
        <f>IF(RentTimePeriod="Annual",'Rent Roll Detail Input'!K32*12,'Rent Roll Detail Input'!K32)</f>
        <v>2365</v>
      </c>
      <c r="H28" s="995">
        <f t="shared" si="2"/>
        <v>3.1533333333333333</v>
      </c>
      <c r="I28" s="1000">
        <f>IF(RentTimePeriod="Annual",'Rent Roll Detail Input'!L32*12,'Rent Roll Detail Input'!L32)</f>
        <v>2650</v>
      </c>
      <c r="J28" s="995">
        <f t="shared" si="3"/>
        <v>3.5333333333333332</v>
      </c>
      <c r="K28" s="952">
        <f>IF(RentTimePeriod="Annual",'Rent Roll Detail Input'!M32*12,'Rent Roll Detail Input'!M32)</f>
        <v>0</v>
      </c>
      <c r="L28" s="607">
        <f t="shared" si="4"/>
        <v>0</v>
      </c>
      <c r="M28" s="598"/>
    </row>
    <row r="29" spans="1:13" s="45" customFormat="1" ht="11.25" customHeight="1">
      <c r="A29" s="598"/>
      <c r="B29" s="935" t="str">
        <f>'Rent Roll Detail Input'!G33</f>
        <v>428-14</v>
      </c>
      <c r="C29" s="935" t="str">
        <f>'Rent Roll Detail Input'!H33</f>
        <v>2 Bed / 1 Bath</v>
      </c>
      <c r="D29" s="993">
        <f>IF(RRDI_SFCount&gt;0,IF(OR('Rent Roll Detail Input'!I33="", 'Rent Roll Detail Input'!I33=0),"N/A", 'Rent Roll Detail Input'!I33),"")</f>
        <v>750</v>
      </c>
      <c r="E29" s="994">
        <f>IF('Rent Roll Detail Input'!J33=0,"Vacant",IF(RentTimePeriod="Annual",'Rent Roll Detail Input'!J33*12,'Rent Roll Detail Input'!J33))</f>
        <v>2040</v>
      </c>
      <c r="F29" s="995">
        <f t="shared" si="1"/>
        <v>2.72</v>
      </c>
      <c r="G29" s="994">
        <f>IF(RentTimePeriod="Annual",'Rent Roll Detail Input'!K33*12,'Rent Roll Detail Input'!K33)</f>
        <v>2040</v>
      </c>
      <c r="H29" s="995">
        <f t="shared" si="2"/>
        <v>2.72</v>
      </c>
      <c r="I29" s="1000">
        <f>IF(RentTimePeriod="Annual",'Rent Roll Detail Input'!L33*12,'Rent Roll Detail Input'!L33)</f>
        <v>2650</v>
      </c>
      <c r="J29" s="995">
        <f t="shared" si="3"/>
        <v>3.5333333333333332</v>
      </c>
      <c r="K29" s="952">
        <f>IF(RentTimePeriod="Annual",'Rent Roll Detail Input'!M33*12,'Rent Roll Detail Input'!M33)</f>
        <v>0</v>
      </c>
      <c r="L29" s="607">
        <f t="shared" si="4"/>
        <v>0</v>
      </c>
      <c r="M29" s="598"/>
    </row>
    <row r="30" spans="1:13" s="45" customFormat="1" ht="11.25" customHeight="1">
      <c r="A30" s="598"/>
      <c r="B30" s="935" t="str">
        <f>'Rent Roll Detail Input'!G34</f>
        <v>428-15</v>
      </c>
      <c r="C30" s="935" t="str">
        <f>'Rent Roll Detail Input'!H34</f>
        <v>2 Bed / 1 Bath</v>
      </c>
      <c r="D30" s="993">
        <f>IF(RRDI_SFCount&gt;0,IF(OR('Rent Roll Detail Input'!I34="", 'Rent Roll Detail Input'!I34=0),"N/A", 'Rent Roll Detail Input'!I34),"")</f>
        <v>750</v>
      </c>
      <c r="E30" s="994">
        <f>IF('Rent Roll Detail Input'!J34=0,"Vacant",IF(RentTimePeriod="Annual",'Rent Roll Detail Input'!J34*12,'Rent Roll Detail Input'!J34))</f>
        <v>2150</v>
      </c>
      <c r="F30" s="995">
        <f t="shared" si="1"/>
        <v>2.8666666666666667</v>
      </c>
      <c r="G30" s="994">
        <f>IF(RentTimePeriod="Annual",'Rent Roll Detail Input'!K34*12,'Rent Roll Detail Input'!K34)</f>
        <v>2150</v>
      </c>
      <c r="H30" s="995">
        <f t="shared" si="2"/>
        <v>2.8666666666666667</v>
      </c>
      <c r="I30" s="1000">
        <f>IF(RentTimePeriod="Annual",'Rent Roll Detail Input'!L34*12,'Rent Roll Detail Input'!L34)</f>
        <v>2650</v>
      </c>
      <c r="J30" s="995">
        <f t="shared" si="3"/>
        <v>3.5333333333333332</v>
      </c>
      <c r="K30" s="952">
        <f>IF(RentTimePeriod="Annual",'Rent Roll Detail Input'!M34*12,'Rent Roll Detail Input'!M34)</f>
        <v>0</v>
      </c>
      <c r="L30" s="607">
        <f t="shared" si="4"/>
        <v>0</v>
      </c>
      <c r="M30" s="598"/>
    </row>
    <row r="31" spans="1:13" s="45" customFormat="1" ht="11.25" customHeight="1">
      <c r="A31" s="598"/>
      <c r="B31" s="935" t="str">
        <f>'Rent Roll Detail Input'!G35</f>
        <v>428-16</v>
      </c>
      <c r="C31" s="935" t="str">
        <f>'Rent Roll Detail Input'!H35</f>
        <v>2 Bed / 1 Bath</v>
      </c>
      <c r="D31" s="993">
        <f>IF(RRDI_SFCount&gt;0,IF(OR('Rent Roll Detail Input'!I35="", 'Rent Roll Detail Input'!I35=0),"N/A", 'Rent Roll Detail Input'!I35),"")</f>
        <v>750</v>
      </c>
      <c r="E31" s="994">
        <f>IF('Rent Roll Detail Input'!J35=0,"Vacant",IF(RentTimePeriod="Annual",'Rent Roll Detail Input'!J35*12,'Rent Roll Detail Input'!J35))</f>
        <v>2025</v>
      </c>
      <c r="F31" s="995">
        <f t="shared" si="1"/>
        <v>2.7</v>
      </c>
      <c r="G31" s="994">
        <f>IF(RentTimePeriod="Annual",'Rent Roll Detail Input'!K35*12,'Rent Roll Detail Input'!K35)</f>
        <v>2025</v>
      </c>
      <c r="H31" s="995">
        <f t="shared" si="2"/>
        <v>2.7</v>
      </c>
      <c r="I31" s="1000">
        <f>IF(RentTimePeriod="Annual",'Rent Roll Detail Input'!L35*12,'Rent Roll Detail Input'!L35)</f>
        <v>2650</v>
      </c>
      <c r="J31" s="995">
        <f t="shared" si="3"/>
        <v>3.5333333333333332</v>
      </c>
      <c r="K31" s="952">
        <f>IF(RentTimePeriod="Annual",'Rent Roll Detail Input'!M35*12,'Rent Roll Detail Input'!M35)</f>
        <v>0</v>
      </c>
      <c r="L31" s="607">
        <f t="shared" si="4"/>
        <v>0</v>
      </c>
      <c r="M31" s="598"/>
    </row>
    <row r="32" spans="1:13" s="45" customFormat="1" ht="11.25" customHeight="1">
      <c r="A32" s="598"/>
      <c r="B32" s="935" t="str">
        <f>'Rent Roll Detail Input'!G36</f>
        <v>428-17</v>
      </c>
      <c r="C32" s="935" t="str">
        <f>'Rent Roll Detail Input'!H36</f>
        <v>2 Bed / 1 Bath</v>
      </c>
      <c r="D32" s="993">
        <f>IF(RRDI_SFCount&gt;0,IF(OR('Rent Roll Detail Input'!I36="", 'Rent Roll Detail Input'!I36=0),"N/A", 'Rent Roll Detail Input'!I36),"")</f>
        <v>750</v>
      </c>
      <c r="E32" s="994">
        <f>IF('Rent Roll Detail Input'!J36=0,"Vacant",IF(RentTimePeriod="Annual",'Rent Roll Detail Input'!J36*12,'Rent Roll Detail Input'!J36))</f>
        <v>2365</v>
      </c>
      <c r="F32" s="995">
        <f t="shared" si="1"/>
        <v>3.1533333333333333</v>
      </c>
      <c r="G32" s="994">
        <f>IF(RentTimePeriod="Annual",'Rent Roll Detail Input'!K36*12,'Rent Roll Detail Input'!K36)</f>
        <v>2365</v>
      </c>
      <c r="H32" s="995">
        <f t="shared" si="2"/>
        <v>3.1533333333333333</v>
      </c>
      <c r="I32" s="1000">
        <f>IF(RentTimePeriod="Annual",'Rent Roll Detail Input'!L36*12,'Rent Roll Detail Input'!L36)</f>
        <v>2650</v>
      </c>
      <c r="J32" s="995">
        <f t="shared" si="3"/>
        <v>3.5333333333333332</v>
      </c>
      <c r="K32" s="952">
        <f>IF(RentTimePeriod="Annual",'Rent Roll Detail Input'!M36*12,'Rent Roll Detail Input'!M36)</f>
        <v>0</v>
      </c>
      <c r="L32" s="607">
        <f t="shared" si="4"/>
        <v>0</v>
      </c>
      <c r="M32" s="598"/>
    </row>
    <row r="33" spans="1:13" s="45" customFormat="1" ht="11.25" customHeight="1">
      <c r="A33" s="598"/>
      <c r="B33" s="935" t="str">
        <f>'Rent Roll Detail Input'!G37</f>
        <v>428-18</v>
      </c>
      <c r="C33" s="935" t="str">
        <f>'Rent Roll Detail Input'!H37</f>
        <v>2 Bed / 1 Bath</v>
      </c>
      <c r="D33" s="993">
        <f>IF(RRDI_SFCount&gt;0,IF(OR('Rent Roll Detail Input'!I37="", 'Rent Roll Detail Input'!I37=0),"N/A", 'Rent Roll Detail Input'!I37),"")</f>
        <v>750</v>
      </c>
      <c r="E33" s="994">
        <f>IF('Rent Roll Detail Input'!J37=0,"Vacant",IF(RentTimePeriod="Annual",'Rent Roll Detail Input'!J37*12,'Rent Roll Detail Input'!J37))</f>
        <v>1970</v>
      </c>
      <c r="F33" s="995">
        <f t="shared" si="1"/>
        <v>2.6266666666666665</v>
      </c>
      <c r="G33" s="994">
        <f>IF(RentTimePeriod="Annual",'Rent Roll Detail Input'!K37*12,'Rent Roll Detail Input'!K37)</f>
        <v>1970</v>
      </c>
      <c r="H33" s="995">
        <f t="shared" si="2"/>
        <v>2.6266666666666665</v>
      </c>
      <c r="I33" s="1000">
        <f>IF(RentTimePeriod="Annual",'Rent Roll Detail Input'!L37*12,'Rent Roll Detail Input'!L37)</f>
        <v>2650</v>
      </c>
      <c r="J33" s="995">
        <f t="shared" si="3"/>
        <v>3.5333333333333332</v>
      </c>
      <c r="K33" s="952">
        <f>IF(RentTimePeriod="Annual",'Rent Roll Detail Input'!M37*12,'Rent Roll Detail Input'!M37)</f>
        <v>0</v>
      </c>
      <c r="L33" s="607">
        <f t="shared" si="4"/>
        <v>0</v>
      </c>
      <c r="M33" s="598"/>
    </row>
    <row r="34" spans="1:13" s="45" customFormat="1" ht="11.25" customHeight="1">
      <c r="A34" s="598"/>
      <c r="B34" s="935" t="str">
        <f>'Rent Roll Detail Input'!G38</f>
        <v>428-19</v>
      </c>
      <c r="C34" s="935" t="str">
        <f>'Rent Roll Detail Input'!H38</f>
        <v>2 Bed / 1 Bath</v>
      </c>
      <c r="D34" s="993">
        <f>IF(RRDI_SFCount&gt;0,IF(OR('Rent Roll Detail Input'!I38="", 'Rent Roll Detail Input'!I38=0),"N/A", 'Rent Roll Detail Input'!I38),"")</f>
        <v>750</v>
      </c>
      <c r="E34" s="994">
        <f>IF('Rent Roll Detail Input'!J38=0,"Vacant",IF(RentTimePeriod="Annual",'Rent Roll Detail Input'!J38*12,'Rent Roll Detail Input'!J38))</f>
        <v>2450</v>
      </c>
      <c r="F34" s="995">
        <f t="shared" si="1"/>
        <v>3.2666666666666666</v>
      </c>
      <c r="G34" s="994">
        <f>IF(RentTimePeriod="Annual",'Rent Roll Detail Input'!K38*12,'Rent Roll Detail Input'!K38)</f>
        <v>2450</v>
      </c>
      <c r="H34" s="995">
        <f t="shared" si="2"/>
        <v>3.2666666666666666</v>
      </c>
      <c r="I34" s="1000">
        <f>IF(RentTimePeriod="Annual",'Rent Roll Detail Input'!L38*12,'Rent Roll Detail Input'!L38)</f>
        <v>2650</v>
      </c>
      <c r="J34" s="995">
        <f t="shared" si="3"/>
        <v>3.5333333333333332</v>
      </c>
      <c r="K34" s="952">
        <f>IF(RentTimePeriod="Annual",'Rent Roll Detail Input'!M38*12,'Rent Roll Detail Input'!M38)</f>
        <v>0</v>
      </c>
      <c r="L34" s="607">
        <f t="shared" si="4"/>
        <v>0</v>
      </c>
      <c r="M34" s="598"/>
    </row>
    <row r="35" spans="1:13" s="45" customFormat="1" ht="11.25" customHeight="1">
      <c r="A35" s="598"/>
      <c r="B35" s="935" t="s">
        <v>1651</v>
      </c>
      <c r="C35" s="935"/>
      <c r="D35" s="993" t="str">
        <f>IF('Rent Roll Detail Input'!$N$4="Total Gross Square Feet","Square Feet: "&amp;TEXT('Rent Roll Detail Input'!$N$8,"#,##0"),SUM(D8:D34))</f>
        <v>Square Feet: 22,674</v>
      </c>
      <c r="E35" s="994">
        <f>SUM(E8:E34)</f>
        <v>51429</v>
      </c>
      <c r="F35" s="995">
        <f>IFERROR(E35/RRD_SF,0)</f>
        <v>2.2681926435564965</v>
      </c>
      <c r="G35" s="994">
        <f>SUM(G8:G34)</f>
        <v>61729</v>
      </c>
      <c r="H35" s="995">
        <f>IFERROR(G35/RRD_SF,0)</f>
        <v>2.7224574402399222</v>
      </c>
      <c r="I35" s="1000">
        <f>SUM(I8:I34)</f>
        <v>73190</v>
      </c>
      <c r="J35" s="995">
        <f>IFERROR(I35/RRD_SF,0)</f>
        <v>3.227926259151451</v>
      </c>
      <c r="K35" s="952">
        <f>SUM(K8:K34)</f>
        <v>0</v>
      </c>
      <c r="L35" s="607">
        <f>IFERROR(K35/RRD_SF,0)</f>
        <v>0</v>
      </c>
      <c r="M35" s="598"/>
    </row>
    <row r="36" spans="1:13" s="45" customFormat="1" ht="11.25" customHeight="1">
      <c r="A36" s="598"/>
      <c r="B36" s="935"/>
      <c r="C36" s="935"/>
      <c r="D36" s="993"/>
      <c r="E36" s="994"/>
      <c r="F36" s="995"/>
      <c r="G36" s="994"/>
      <c r="H36" s="995"/>
      <c r="I36" s="1000"/>
      <c r="J36" s="995"/>
      <c r="K36" s="952">
        <f>IF(RentTimePeriod="Annual",'Rent Roll Detail Input'!M40*12,'Rent Roll Detail Input'!M40)</f>
        <v>0</v>
      </c>
      <c r="L36" s="607">
        <f t="shared" ref="L36:L39" si="5">IF(D36="N/A","N/A",IFERROR(K36/D36,0))</f>
        <v>0</v>
      </c>
      <c r="M36" s="598"/>
    </row>
    <row r="37" spans="1:13" s="45" customFormat="1" ht="11.25" customHeight="1">
      <c r="A37" s="598"/>
      <c r="B37" s="935"/>
      <c r="C37" s="935"/>
      <c r="D37" s="993"/>
      <c r="E37" s="994"/>
      <c r="F37" s="995"/>
      <c r="G37" s="994"/>
      <c r="H37" s="995"/>
      <c r="I37" s="1000"/>
      <c r="J37" s="995"/>
      <c r="K37" s="952">
        <f>IF(RentTimePeriod="Annual",'Rent Roll Detail Input'!M41*12,'Rent Roll Detail Input'!M41)</f>
        <v>0</v>
      </c>
      <c r="L37" s="607">
        <f t="shared" si="5"/>
        <v>0</v>
      </c>
      <c r="M37" s="598"/>
    </row>
    <row r="38" spans="1:13" s="45" customFormat="1" ht="11.25" customHeight="1">
      <c r="A38" s="598"/>
      <c r="B38" s="935"/>
      <c r="C38" s="935"/>
      <c r="D38" s="993"/>
      <c r="E38" s="994"/>
      <c r="F38" s="995"/>
      <c r="G38" s="994"/>
      <c r="H38" s="995"/>
      <c r="I38" s="1000"/>
      <c r="J38" s="995"/>
      <c r="K38" s="952">
        <f>IF(RentTimePeriod="Annual",'Rent Roll Detail Input'!M42*12,'Rent Roll Detail Input'!M42)</f>
        <v>0</v>
      </c>
      <c r="L38" s="607">
        <f t="shared" si="5"/>
        <v>0</v>
      </c>
      <c r="M38" s="598"/>
    </row>
    <row r="39" spans="1:13" s="45" customFormat="1" ht="11.25" customHeight="1">
      <c r="A39" s="598"/>
      <c r="B39" s="935"/>
      <c r="C39" s="935"/>
      <c r="D39" s="993"/>
      <c r="E39" s="994"/>
      <c r="F39" s="995"/>
      <c r="G39" s="994"/>
      <c r="H39" s="995"/>
      <c r="I39" s="1000"/>
      <c r="J39" s="995"/>
      <c r="K39" s="952">
        <f>IF(RentTimePeriod="Annual",'Rent Roll Detail Input'!M43*12,'Rent Roll Detail Input'!M43)</f>
        <v>0</v>
      </c>
      <c r="L39" s="607">
        <f t="shared" si="5"/>
        <v>0</v>
      </c>
      <c r="M39" s="598"/>
    </row>
    <row r="40" spans="1:13" s="45" customFormat="1" ht="11.25" customHeight="1">
      <c r="A40" s="598"/>
      <c r="B40" s="935"/>
      <c r="C40" s="935"/>
      <c r="D40" s="993"/>
      <c r="E40" s="994"/>
      <c r="F40" s="995"/>
      <c r="G40" s="994"/>
      <c r="H40" s="995"/>
      <c r="I40" s="1000"/>
      <c r="J40" s="995"/>
      <c r="K40" s="952">
        <f>IF(RentTimePeriod="Annual",'Rent Roll Detail Input'!M44*12,'Rent Roll Detail Input'!M44)</f>
        <v>0</v>
      </c>
      <c r="L40" s="607">
        <f t="shared" ref="L40:L67" si="6">IF(D40="N/A","N/A",IFERROR(K40/D40,0))</f>
        <v>0</v>
      </c>
      <c r="M40" s="598"/>
    </row>
    <row r="41" spans="1:13" s="45" customFormat="1" ht="11.25" customHeight="1">
      <c r="A41" s="598"/>
      <c r="B41" s="935"/>
      <c r="C41" s="935"/>
      <c r="D41" s="993"/>
      <c r="E41" s="994"/>
      <c r="F41" s="995"/>
      <c r="G41" s="994"/>
      <c r="H41" s="995"/>
      <c r="I41" s="1000"/>
      <c r="J41" s="995"/>
      <c r="K41" s="952">
        <f>IF(RentTimePeriod="Annual",'Rent Roll Detail Input'!M45*12,'Rent Roll Detail Input'!M45)</f>
        <v>0</v>
      </c>
      <c r="L41" s="607">
        <f t="shared" si="6"/>
        <v>0</v>
      </c>
      <c r="M41" s="598"/>
    </row>
    <row r="42" spans="1:13" s="45" customFormat="1" ht="11.25" customHeight="1">
      <c r="A42" s="598"/>
      <c r="B42" s="935"/>
      <c r="C42" s="935"/>
      <c r="D42" s="993"/>
      <c r="E42" s="994"/>
      <c r="F42" s="995"/>
      <c r="G42" s="994"/>
      <c r="H42" s="995"/>
      <c r="I42" s="1000"/>
      <c r="J42" s="995"/>
      <c r="K42" s="952">
        <f>IF(RentTimePeriod="Annual",'Rent Roll Detail Input'!M46*12,'Rent Roll Detail Input'!M46)</f>
        <v>0</v>
      </c>
      <c r="L42" s="607">
        <f t="shared" si="6"/>
        <v>0</v>
      </c>
      <c r="M42" s="598"/>
    </row>
    <row r="43" spans="1:13" s="45" customFormat="1" ht="11.25" customHeight="1">
      <c r="A43" s="598"/>
      <c r="B43" s="935"/>
      <c r="C43" s="935"/>
      <c r="D43" s="993"/>
      <c r="E43" s="994"/>
      <c r="F43" s="995"/>
      <c r="G43" s="994"/>
      <c r="H43" s="995"/>
      <c r="I43" s="1000"/>
      <c r="J43" s="995"/>
      <c r="K43" s="952">
        <f>IF(RentTimePeriod="Annual",'Rent Roll Detail Input'!M47*12,'Rent Roll Detail Input'!M47)</f>
        <v>0</v>
      </c>
      <c r="L43" s="607">
        <f t="shared" si="6"/>
        <v>0</v>
      </c>
      <c r="M43" s="598"/>
    </row>
    <row r="44" spans="1:13" s="45" customFormat="1" ht="11.25" customHeight="1">
      <c r="A44" s="598"/>
      <c r="B44" s="935"/>
      <c r="C44" s="935"/>
      <c r="D44" s="993"/>
      <c r="E44" s="994"/>
      <c r="F44" s="995"/>
      <c r="G44" s="994"/>
      <c r="H44" s="995"/>
      <c r="I44" s="1000"/>
      <c r="J44" s="995"/>
      <c r="K44" s="952">
        <f>IF(RentTimePeriod="Annual",'Rent Roll Detail Input'!M48*12,'Rent Roll Detail Input'!M48)</f>
        <v>0</v>
      </c>
      <c r="L44" s="607">
        <f t="shared" si="6"/>
        <v>0</v>
      </c>
      <c r="M44" s="598"/>
    </row>
    <row r="45" spans="1:13" s="45" customFormat="1" ht="11.25" customHeight="1">
      <c r="A45" s="598"/>
      <c r="B45" s="935"/>
      <c r="C45" s="935"/>
      <c r="D45" s="993"/>
      <c r="E45" s="994"/>
      <c r="F45" s="995"/>
      <c r="G45" s="994"/>
      <c r="H45" s="995"/>
      <c r="I45" s="1000"/>
      <c r="J45" s="995"/>
      <c r="K45" s="952">
        <f>IF(RentTimePeriod="Annual",'Rent Roll Detail Input'!M49*12,'Rent Roll Detail Input'!M49)</f>
        <v>0</v>
      </c>
      <c r="L45" s="607">
        <f t="shared" si="6"/>
        <v>0</v>
      </c>
      <c r="M45" s="598"/>
    </row>
    <row r="46" spans="1:13" s="45" customFormat="1" ht="11.25" customHeight="1">
      <c r="A46" s="598"/>
      <c r="B46" s="935"/>
      <c r="C46" s="935"/>
      <c r="D46" s="993"/>
      <c r="E46" s="994"/>
      <c r="F46" s="995"/>
      <c r="G46" s="994"/>
      <c r="H46" s="995"/>
      <c r="I46" s="1000"/>
      <c r="J46" s="995"/>
      <c r="K46" s="952">
        <f>IF(RentTimePeriod="Annual",'Rent Roll Detail Input'!M50*12,'Rent Roll Detail Input'!M50)</f>
        <v>0</v>
      </c>
      <c r="L46" s="607">
        <f t="shared" si="6"/>
        <v>0</v>
      </c>
      <c r="M46" s="598"/>
    </row>
    <row r="47" spans="1:13" s="45" customFormat="1" ht="11.25" customHeight="1">
      <c r="A47" s="598"/>
      <c r="B47" s="935"/>
      <c r="C47" s="935"/>
      <c r="D47" s="993"/>
      <c r="E47" s="994"/>
      <c r="F47" s="995"/>
      <c r="G47" s="994"/>
      <c r="H47" s="995"/>
      <c r="I47" s="1000"/>
      <c r="J47" s="995"/>
      <c r="K47" s="952">
        <f>IF(RentTimePeriod="Annual",'Rent Roll Detail Input'!M51*12,'Rent Roll Detail Input'!M51)</f>
        <v>0</v>
      </c>
      <c r="L47" s="607">
        <f t="shared" si="6"/>
        <v>0</v>
      </c>
      <c r="M47" s="598"/>
    </row>
    <row r="48" spans="1:13" s="45" customFormat="1" ht="11.25" customHeight="1">
      <c r="A48" s="598"/>
      <c r="B48" s="935"/>
      <c r="C48" s="935"/>
      <c r="D48" s="993"/>
      <c r="E48" s="994"/>
      <c r="F48" s="995"/>
      <c r="G48" s="994"/>
      <c r="H48" s="995"/>
      <c r="I48" s="1000"/>
      <c r="J48" s="995"/>
      <c r="K48" s="952">
        <f>IF(RentTimePeriod="Annual",'Rent Roll Detail Input'!M52*12,'Rent Roll Detail Input'!M52)</f>
        <v>0</v>
      </c>
      <c r="L48" s="607">
        <f t="shared" si="6"/>
        <v>0</v>
      </c>
      <c r="M48" s="598"/>
    </row>
    <row r="49" spans="1:13" s="45" customFormat="1" ht="11.25" customHeight="1">
      <c r="A49" s="598"/>
      <c r="B49" s="935"/>
      <c r="C49" s="935"/>
      <c r="D49" s="993"/>
      <c r="E49" s="994"/>
      <c r="F49" s="995"/>
      <c r="G49" s="994"/>
      <c r="H49" s="995"/>
      <c r="I49" s="1000"/>
      <c r="J49" s="995"/>
      <c r="K49" s="952">
        <f>IF(RentTimePeriod="Annual",'Rent Roll Detail Input'!M53*12,'Rent Roll Detail Input'!M53)</f>
        <v>0</v>
      </c>
      <c r="L49" s="607">
        <f t="shared" si="6"/>
        <v>0</v>
      </c>
      <c r="M49" s="598"/>
    </row>
    <row r="50" spans="1:13" s="45" customFormat="1" ht="11.25" customHeight="1">
      <c r="A50" s="598"/>
      <c r="B50" s="935"/>
      <c r="C50" s="935"/>
      <c r="D50" s="993"/>
      <c r="E50" s="994"/>
      <c r="F50" s="995"/>
      <c r="G50" s="994"/>
      <c r="H50" s="995"/>
      <c r="I50" s="1000"/>
      <c r="J50" s="995"/>
      <c r="K50" s="952">
        <f>IF(RentTimePeriod="Annual",'Rent Roll Detail Input'!M54*12,'Rent Roll Detail Input'!M54)</f>
        <v>0</v>
      </c>
      <c r="L50" s="607">
        <f t="shared" si="6"/>
        <v>0</v>
      </c>
      <c r="M50" s="598"/>
    </row>
    <row r="51" spans="1:13" s="45" customFormat="1" ht="11.25" customHeight="1">
      <c r="A51" s="598"/>
      <c r="B51" s="935"/>
      <c r="C51" s="935"/>
      <c r="D51" s="993"/>
      <c r="E51" s="994"/>
      <c r="F51" s="995"/>
      <c r="G51" s="994"/>
      <c r="H51" s="995"/>
      <c r="I51" s="1000"/>
      <c r="J51" s="995"/>
      <c r="K51" s="952">
        <f>IF(RentTimePeriod="Annual",'Rent Roll Detail Input'!M55*12,'Rent Roll Detail Input'!M55)</f>
        <v>0</v>
      </c>
      <c r="L51" s="607">
        <f t="shared" si="6"/>
        <v>0</v>
      </c>
      <c r="M51" s="598"/>
    </row>
    <row r="52" spans="1:13" s="45" customFormat="1" ht="11.25" customHeight="1">
      <c r="A52" s="598"/>
      <c r="B52" s="935"/>
      <c r="C52" s="935"/>
      <c r="D52" s="993"/>
      <c r="E52" s="994"/>
      <c r="F52" s="995"/>
      <c r="G52" s="994"/>
      <c r="H52" s="995"/>
      <c r="I52" s="1000"/>
      <c r="J52" s="995"/>
      <c r="K52" s="952">
        <f>IF(RentTimePeriod="Annual",'Rent Roll Detail Input'!M56*12,'Rent Roll Detail Input'!M56)</f>
        <v>0</v>
      </c>
      <c r="L52" s="607">
        <f t="shared" si="6"/>
        <v>0</v>
      </c>
      <c r="M52" s="598"/>
    </row>
    <row r="53" spans="1:13" s="45" customFormat="1" ht="11.25" customHeight="1">
      <c r="A53" s="598"/>
      <c r="B53" s="935"/>
      <c r="C53" s="935"/>
      <c r="D53" s="993"/>
      <c r="E53" s="994"/>
      <c r="F53" s="995"/>
      <c r="G53" s="994"/>
      <c r="H53" s="995"/>
      <c r="I53" s="1000"/>
      <c r="J53" s="995"/>
      <c r="K53" s="952">
        <f>IF(RentTimePeriod="Annual",'Rent Roll Detail Input'!M57*12,'Rent Roll Detail Input'!M57)</f>
        <v>0</v>
      </c>
      <c r="L53" s="607">
        <f t="shared" si="6"/>
        <v>0</v>
      </c>
      <c r="M53" s="598"/>
    </row>
    <row r="54" spans="1:13" s="45" customFormat="1" ht="11.25" customHeight="1">
      <c r="A54" s="598"/>
      <c r="B54" s="935"/>
      <c r="C54" s="935"/>
      <c r="D54" s="993"/>
      <c r="E54" s="994"/>
      <c r="F54" s="995"/>
      <c r="G54" s="994"/>
      <c r="H54" s="995"/>
      <c r="I54" s="1000"/>
      <c r="J54" s="995"/>
      <c r="K54" s="952">
        <f>IF(RentTimePeriod="Annual",'Rent Roll Detail Input'!M58*12,'Rent Roll Detail Input'!M58)</f>
        <v>0</v>
      </c>
      <c r="L54" s="607">
        <f t="shared" si="6"/>
        <v>0</v>
      </c>
      <c r="M54" s="598"/>
    </row>
    <row r="55" spans="1:13" s="45" customFormat="1" ht="11.25" customHeight="1">
      <c r="A55" s="598"/>
      <c r="B55" s="935"/>
      <c r="C55" s="935"/>
      <c r="D55" s="993"/>
      <c r="E55" s="994"/>
      <c r="F55" s="995"/>
      <c r="G55" s="994"/>
      <c r="H55" s="995"/>
      <c r="I55" s="1000"/>
      <c r="J55" s="995"/>
      <c r="K55" s="952">
        <f>IF(RentTimePeriod="Annual",'Rent Roll Detail Input'!M59*12,'Rent Roll Detail Input'!M59)</f>
        <v>0</v>
      </c>
      <c r="L55" s="607">
        <f t="shared" si="6"/>
        <v>0</v>
      </c>
      <c r="M55" s="598"/>
    </row>
    <row r="56" spans="1:13" s="45" customFormat="1" ht="11.25" customHeight="1">
      <c r="A56" s="598"/>
      <c r="B56" s="935"/>
      <c r="C56" s="935"/>
      <c r="D56" s="993"/>
      <c r="E56" s="994"/>
      <c r="F56" s="995"/>
      <c r="G56" s="994"/>
      <c r="H56" s="995"/>
      <c r="I56" s="1000"/>
      <c r="J56" s="995"/>
      <c r="K56" s="952">
        <f>IF(RentTimePeriod="Annual",'Rent Roll Detail Input'!M60*12,'Rent Roll Detail Input'!M60)</f>
        <v>0</v>
      </c>
      <c r="L56" s="607">
        <f t="shared" si="6"/>
        <v>0</v>
      </c>
      <c r="M56" s="598"/>
    </row>
    <row r="57" spans="1:13" s="45" customFormat="1" ht="11.25" customHeight="1">
      <c r="A57" s="598"/>
      <c r="B57" s="935"/>
      <c r="C57" s="935"/>
      <c r="D57" s="993"/>
      <c r="E57" s="994"/>
      <c r="F57" s="995"/>
      <c r="G57" s="994"/>
      <c r="H57" s="995"/>
      <c r="I57" s="1000"/>
      <c r="J57" s="995"/>
      <c r="K57" s="952">
        <f>IF(RentTimePeriod="Annual",'Rent Roll Detail Input'!M61*12,'Rent Roll Detail Input'!M61)</f>
        <v>0</v>
      </c>
      <c r="L57" s="607">
        <f t="shared" si="6"/>
        <v>0</v>
      </c>
      <c r="M57" s="598"/>
    </row>
    <row r="58" spans="1:13" s="45" customFormat="1" ht="11.25" customHeight="1">
      <c r="A58" s="598"/>
      <c r="B58" s="935"/>
      <c r="C58" s="935"/>
      <c r="D58" s="993"/>
      <c r="E58" s="994"/>
      <c r="F58" s="995"/>
      <c r="G58" s="994"/>
      <c r="H58" s="995"/>
      <c r="I58" s="1000"/>
      <c r="J58" s="995"/>
      <c r="K58" s="952">
        <f>IF(RentTimePeriod="Annual",'Rent Roll Detail Input'!M62*12,'Rent Roll Detail Input'!M62)</f>
        <v>0</v>
      </c>
      <c r="L58" s="607">
        <f t="shared" si="6"/>
        <v>0</v>
      </c>
      <c r="M58" s="598"/>
    </row>
    <row r="59" spans="1:13" s="45" customFormat="1" ht="11.25" customHeight="1">
      <c r="A59" s="598"/>
      <c r="B59" s="935"/>
      <c r="C59" s="935"/>
      <c r="D59" s="993"/>
      <c r="E59" s="994"/>
      <c r="F59" s="995"/>
      <c r="G59" s="994"/>
      <c r="H59" s="995"/>
      <c r="I59" s="1000"/>
      <c r="J59" s="995"/>
      <c r="K59" s="952">
        <f>IF(RentTimePeriod="Annual",'Rent Roll Detail Input'!M63*12,'Rent Roll Detail Input'!M63)</f>
        <v>0</v>
      </c>
      <c r="L59" s="607">
        <f t="shared" si="6"/>
        <v>0</v>
      </c>
      <c r="M59" s="598"/>
    </row>
    <row r="60" spans="1:13" s="45" customFormat="1" ht="11.25" customHeight="1">
      <c r="A60" s="598"/>
      <c r="B60" s="935"/>
      <c r="C60" s="935"/>
      <c r="D60" s="993"/>
      <c r="E60" s="994"/>
      <c r="F60" s="995"/>
      <c r="G60" s="994"/>
      <c r="H60" s="995"/>
      <c r="I60" s="1000"/>
      <c r="J60" s="995"/>
      <c r="K60" s="952">
        <f>IF(RentTimePeriod="Annual",'Rent Roll Detail Input'!M64*12,'Rent Roll Detail Input'!M64)</f>
        <v>0</v>
      </c>
      <c r="L60" s="607">
        <f t="shared" si="6"/>
        <v>0</v>
      </c>
      <c r="M60" s="598"/>
    </row>
    <row r="61" spans="1:13" s="45" customFormat="1" ht="11.25" customHeight="1">
      <c r="A61" s="598"/>
      <c r="B61" s="935"/>
      <c r="C61" s="935"/>
      <c r="D61" s="993"/>
      <c r="E61" s="994"/>
      <c r="F61" s="995"/>
      <c r="G61" s="994"/>
      <c r="H61" s="995"/>
      <c r="I61" s="1000"/>
      <c r="J61" s="995"/>
      <c r="K61" s="952">
        <f>IF(RentTimePeriod="Annual",'Rent Roll Detail Input'!M65*12,'Rent Roll Detail Input'!M65)</f>
        <v>0</v>
      </c>
      <c r="L61" s="607">
        <f t="shared" si="6"/>
        <v>0</v>
      </c>
      <c r="M61" s="598"/>
    </row>
    <row r="62" spans="1:13" s="45" customFormat="1" ht="11.25" customHeight="1">
      <c r="A62" s="598"/>
      <c r="B62" s="935"/>
      <c r="C62" s="935"/>
      <c r="D62" s="993"/>
      <c r="E62" s="994"/>
      <c r="F62" s="995"/>
      <c r="G62" s="994"/>
      <c r="H62" s="995"/>
      <c r="I62" s="1000"/>
      <c r="J62" s="995"/>
      <c r="K62" s="952">
        <f>IF(RentTimePeriod="Annual",'Rent Roll Detail Input'!M66*12,'Rent Roll Detail Input'!M66)</f>
        <v>0</v>
      </c>
      <c r="L62" s="607">
        <f t="shared" si="6"/>
        <v>0</v>
      </c>
      <c r="M62" s="598"/>
    </row>
    <row r="63" spans="1:13" s="45" customFormat="1" ht="11.25" customHeight="1">
      <c r="A63" s="598"/>
      <c r="B63" s="935"/>
      <c r="C63" s="935"/>
      <c r="D63" s="993"/>
      <c r="E63" s="994"/>
      <c r="F63" s="995"/>
      <c r="G63" s="994"/>
      <c r="H63" s="995"/>
      <c r="I63" s="1000"/>
      <c r="J63" s="995"/>
      <c r="K63" s="952">
        <f>IF(RentTimePeriod="Annual",'Rent Roll Detail Input'!M67*12,'Rent Roll Detail Input'!M67)</f>
        <v>0</v>
      </c>
      <c r="L63" s="607">
        <f t="shared" si="6"/>
        <v>0</v>
      </c>
      <c r="M63" s="598"/>
    </row>
    <row r="64" spans="1:13" s="45" customFormat="1" ht="11.25" customHeight="1">
      <c r="A64" s="598"/>
      <c r="B64" s="935"/>
      <c r="C64" s="935"/>
      <c r="D64" s="993"/>
      <c r="E64" s="994"/>
      <c r="F64" s="995"/>
      <c r="G64" s="994"/>
      <c r="H64" s="995"/>
      <c r="I64" s="1000"/>
      <c r="J64" s="995"/>
      <c r="K64" s="952">
        <f>IF(RentTimePeriod="Annual",'Rent Roll Detail Input'!M68*12,'Rent Roll Detail Input'!M68)</f>
        <v>0</v>
      </c>
      <c r="L64" s="607">
        <f t="shared" si="6"/>
        <v>0</v>
      </c>
      <c r="M64" s="598"/>
    </row>
    <row r="65" spans="1:14" s="45" customFormat="1" ht="11.25" customHeight="1">
      <c r="A65" s="598"/>
      <c r="B65" s="935"/>
      <c r="C65" s="935"/>
      <c r="D65" s="993"/>
      <c r="E65" s="994"/>
      <c r="F65" s="995"/>
      <c r="G65" s="994"/>
      <c r="H65" s="995"/>
      <c r="I65" s="1000"/>
      <c r="J65" s="995"/>
      <c r="K65" s="952">
        <f>IF(RentTimePeriod="Annual",'Rent Roll Detail Input'!M69*12,'Rent Roll Detail Input'!M69)</f>
        <v>0</v>
      </c>
      <c r="L65" s="607">
        <f t="shared" si="6"/>
        <v>0</v>
      </c>
      <c r="M65" s="598"/>
      <c r="N65" s="570"/>
    </row>
    <row r="66" spans="1:14" s="45" customFormat="1" ht="11.25" customHeight="1">
      <c r="A66" s="598"/>
      <c r="B66" s="935"/>
      <c r="C66" s="935"/>
      <c r="D66" s="993"/>
      <c r="E66" s="994"/>
      <c r="F66" s="995"/>
      <c r="G66" s="994"/>
      <c r="H66" s="995"/>
      <c r="I66" s="1000"/>
      <c r="J66" s="995"/>
      <c r="K66" s="952">
        <f>IF(RentTimePeriod="Annual",'Rent Roll Detail Input'!M70*12,'Rent Roll Detail Input'!M70)</f>
        <v>0</v>
      </c>
      <c r="L66" s="607">
        <f t="shared" si="6"/>
        <v>0</v>
      </c>
      <c r="M66" s="598"/>
    </row>
    <row r="67" spans="1:14" s="45" customFormat="1" ht="11.25" customHeight="1">
      <c r="A67" s="598"/>
      <c r="B67" s="935"/>
      <c r="C67" s="935"/>
      <c r="D67" s="993"/>
      <c r="E67" s="994"/>
      <c r="F67" s="995"/>
      <c r="G67" s="994"/>
      <c r="H67" s="995"/>
      <c r="I67" s="1000"/>
      <c r="J67" s="995"/>
      <c r="K67" s="952">
        <f>IF(RentTimePeriod="Annual",'Rent Roll Detail Input'!M71*12,'Rent Roll Detail Input'!M71)</f>
        <v>0</v>
      </c>
      <c r="L67" s="607">
        <f t="shared" si="6"/>
        <v>0</v>
      </c>
      <c r="M67" s="598"/>
    </row>
    <row r="68" spans="1:14" s="45" customFormat="1" ht="11.25" customHeight="1">
      <c r="A68" s="598"/>
      <c r="B68" s="762"/>
      <c r="C68" s="772"/>
      <c r="D68" s="993"/>
      <c r="E68" s="994"/>
      <c r="F68" s="995"/>
      <c r="G68" s="994"/>
      <c r="H68" s="995"/>
      <c r="I68" s="1000"/>
      <c r="J68" s="995"/>
      <c r="K68" s="952">
        <f>SUM(K8:K67)</f>
        <v>0</v>
      </c>
      <c r="L68" s="607">
        <f>IFERROR(K68/RRD_SF,0)</f>
        <v>0</v>
      </c>
      <c r="M68" s="598"/>
    </row>
    <row r="69" spans="1:14" s="45" customFormat="1" ht="11.25" customHeight="1">
      <c r="A69" s="598"/>
      <c r="B69" s="953"/>
      <c r="C69" s="953"/>
      <c r="D69" s="606"/>
      <c r="E69" s="954"/>
      <c r="F69" s="607"/>
      <c r="G69" s="954"/>
      <c r="H69" s="607"/>
      <c r="I69" s="952"/>
      <c r="J69" s="607"/>
      <c r="K69" s="952">
        <f>IF(RentTimePeriod="Annual",'Rent Roll Detail Input'!M73*12,'Rent Roll Detail Input'!M73)</f>
        <v>0</v>
      </c>
      <c r="L69" s="607">
        <f t="shared" ref="L69:L71" si="7">IF(D69="N/A","N/A",IFERROR(K69/D69,0))</f>
        <v>0</v>
      </c>
      <c r="M69" s="598"/>
    </row>
    <row r="70" spans="1:14" s="45" customFormat="1" ht="11.25" customHeight="1">
      <c r="A70" s="598"/>
      <c r="B70" s="953"/>
      <c r="C70" s="953"/>
      <c r="D70" s="606"/>
      <c r="E70" s="954"/>
      <c r="F70" s="607"/>
      <c r="G70" s="954"/>
      <c r="H70" s="607"/>
      <c r="I70" s="952"/>
      <c r="J70" s="607"/>
      <c r="K70" s="952">
        <f>IF(RentTimePeriod="Annual",'Rent Roll Detail Input'!M74*12,'Rent Roll Detail Input'!M74)</f>
        <v>0</v>
      </c>
      <c r="L70" s="607">
        <f t="shared" si="7"/>
        <v>0</v>
      </c>
      <c r="M70" s="598"/>
    </row>
    <row r="71" spans="1:14" s="45" customFormat="1" ht="11.25" customHeight="1">
      <c r="A71" s="598"/>
      <c r="B71" s="953"/>
      <c r="C71" s="953"/>
      <c r="D71" s="606"/>
      <c r="E71" s="954"/>
      <c r="F71" s="607"/>
      <c r="G71" s="954"/>
      <c r="H71" s="607"/>
      <c r="I71" s="952"/>
      <c r="J71" s="607"/>
      <c r="K71" s="952">
        <f>IF(RentTimePeriod="Annual",'Rent Roll Detail Input'!M75*12,'Rent Roll Detail Input'!M75)</f>
        <v>0</v>
      </c>
      <c r="L71" s="607">
        <f t="shared" si="7"/>
        <v>0</v>
      </c>
      <c r="M71" s="598"/>
    </row>
    <row r="72" spans="1:14" s="45" customFormat="1" ht="11.25" customHeight="1">
      <c r="B72" s="324"/>
      <c r="C72" s="324"/>
      <c r="D72" s="326"/>
      <c r="E72" s="327"/>
      <c r="F72" s="325"/>
      <c r="G72" s="327"/>
      <c r="H72" s="325"/>
      <c r="I72" s="328"/>
      <c r="J72" s="325"/>
      <c r="K72" s="328">
        <f>IF(RentTimePeriod="Annual",'Rent Roll Detail Input'!M76*12,'Rent Roll Detail Input'!M76)</f>
        <v>0</v>
      </c>
      <c r="L72" s="325">
        <f t="shared" ref="L72:L135" si="8">IF(D72="N/A","N/A",IFERROR(K72/D72,0))</f>
        <v>0</v>
      </c>
    </row>
    <row r="73" spans="1:14" s="45" customFormat="1" ht="11.25" customHeight="1">
      <c r="B73" s="324"/>
      <c r="C73" s="324"/>
      <c r="D73" s="326"/>
      <c r="E73" s="327"/>
      <c r="F73" s="325"/>
      <c r="G73" s="327"/>
      <c r="H73" s="325"/>
      <c r="I73" s="328"/>
      <c r="J73" s="325"/>
      <c r="K73" s="328">
        <f>IF(RentTimePeriod="Annual",'Rent Roll Detail Input'!M77*12,'Rent Roll Detail Input'!M77)</f>
        <v>0</v>
      </c>
      <c r="L73" s="325">
        <f t="shared" si="8"/>
        <v>0</v>
      </c>
    </row>
    <row r="74" spans="1:14" s="45" customFormat="1" ht="11.25" customHeight="1">
      <c r="B74" s="324"/>
      <c r="C74" s="324"/>
      <c r="D74" s="326"/>
      <c r="E74" s="327"/>
      <c r="F74" s="325"/>
      <c r="G74" s="327"/>
      <c r="H74" s="325"/>
      <c r="I74" s="328"/>
      <c r="J74" s="325"/>
      <c r="K74" s="328">
        <f>IF(RentTimePeriod="Annual",'Rent Roll Detail Input'!M78*12,'Rent Roll Detail Input'!M78)</f>
        <v>0</v>
      </c>
      <c r="L74" s="325">
        <f t="shared" si="8"/>
        <v>0</v>
      </c>
    </row>
    <row r="75" spans="1:14" s="45" customFormat="1" ht="11.25" customHeight="1">
      <c r="B75" s="324"/>
      <c r="C75" s="324"/>
      <c r="D75" s="326"/>
      <c r="E75" s="327"/>
      <c r="F75" s="325"/>
      <c r="G75" s="327"/>
      <c r="H75" s="325"/>
      <c r="I75" s="328"/>
      <c r="J75" s="325"/>
      <c r="K75" s="328">
        <f>IF(RentTimePeriod="Annual",'Rent Roll Detail Input'!M79*12,'Rent Roll Detail Input'!M79)</f>
        <v>0</v>
      </c>
      <c r="L75" s="325">
        <f t="shared" si="8"/>
        <v>0</v>
      </c>
    </row>
    <row r="76" spans="1:14" s="45" customFormat="1" ht="11.25" customHeight="1">
      <c r="B76" s="324"/>
      <c r="C76" s="324"/>
      <c r="D76" s="326"/>
      <c r="E76" s="327"/>
      <c r="F76" s="325"/>
      <c r="G76" s="327"/>
      <c r="H76" s="325"/>
      <c r="I76" s="328"/>
      <c r="J76" s="325"/>
      <c r="K76" s="328">
        <f>IF(RentTimePeriod="Annual",'Rent Roll Detail Input'!M80*12,'Rent Roll Detail Input'!M80)</f>
        <v>0</v>
      </c>
      <c r="L76" s="325">
        <f t="shared" si="8"/>
        <v>0</v>
      </c>
    </row>
    <row r="77" spans="1:14" s="45" customFormat="1" ht="11.25" customHeight="1">
      <c r="B77" s="324"/>
      <c r="C77" s="324"/>
      <c r="D77" s="326"/>
      <c r="E77" s="327"/>
      <c r="F77" s="325"/>
      <c r="G77" s="327"/>
      <c r="H77" s="325"/>
      <c r="I77" s="328"/>
      <c r="J77" s="325"/>
      <c r="K77" s="328">
        <f>IF(RentTimePeriod="Annual",'Rent Roll Detail Input'!M81*12,'Rent Roll Detail Input'!M81)</f>
        <v>0</v>
      </c>
      <c r="L77" s="325">
        <f t="shared" si="8"/>
        <v>0</v>
      </c>
    </row>
    <row r="78" spans="1:14" s="45" customFormat="1" ht="11.25" customHeight="1">
      <c r="B78" s="324"/>
      <c r="C78" s="324"/>
      <c r="D78" s="326"/>
      <c r="E78" s="327"/>
      <c r="F78" s="325"/>
      <c r="G78" s="327"/>
      <c r="H78" s="325"/>
      <c r="I78" s="328"/>
      <c r="J78" s="325"/>
      <c r="K78" s="328">
        <f>IF(RentTimePeriod="Annual",'Rent Roll Detail Input'!M82*12,'Rent Roll Detail Input'!M82)</f>
        <v>0</v>
      </c>
      <c r="L78" s="325">
        <f t="shared" si="8"/>
        <v>0</v>
      </c>
    </row>
    <row r="79" spans="1:14" s="45" customFormat="1" ht="11.25" customHeight="1">
      <c r="B79" s="324"/>
      <c r="C79" s="324"/>
      <c r="D79" s="326"/>
      <c r="E79" s="327"/>
      <c r="F79" s="325"/>
      <c r="G79" s="327"/>
      <c r="H79" s="325"/>
      <c r="I79" s="328"/>
      <c r="J79" s="325"/>
      <c r="K79" s="328">
        <f>IF(RentTimePeriod="Annual",'Rent Roll Detail Input'!M83*12,'Rent Roll Detail Input'!M83)</f>
        <v>0</v>
      </c>
      <c r="L79" s="325">
        <f t="shared" si="8"/>
        <v>0</v>
      </c>
    </row>
    <row r="80" spans="1:14" s="45" customFormat="1" ht="11.25" customHeight="1">
      <c r="B80" s="324"/>
      <c r="C80" s="324"/>
      <c r="D80" s="326"/>
      <c r="E80" s="327"/>
      <c r="F80" s="325"/>
      <c r="G80" s="327"/>
      <c r="H80" s="325"/>
      <c r="I80" s="328"/>
      <c r="J80" s="325"/>
      <c r="K80" s="328">
        <f>IF(RentTimePeriod="Annual",'Rent Roll Detail Input'!M84*12,'Rent Roll Detail Input'!M84)</f>
        <v>0</v>
      </c>
      <c r="L80" s="325">
        <f t="shared" si="8"/>
        <v>0</v>
      </c>
    </row>
    <row r="81" spans="2:12" s="45" customFormat="1" ht="11.25" customHeight="1">
      <c r="B81" s="324"/>
      <c r="C81" s="324"/>
      <c r="D81" s="326"/>
      <c r="E81" s="327"/>
      <c r="F81" s="325"/>
      <c r="G81" s="327"/>
      <c r="H81" s="325"/>
      <c r="I81" s="328"/>
      <c r="J81" s="325"/>
      <c r="K81" s="328">
        <f>IF(RentTimePeriod="Annual",'Rent Roll Detail Input'!M85*12,'Rent Roll Detail Input'!M85)</f>
        <v>0</v>
      </c>
      <c r="L81" s="325">
        <f t="shared" si="8"/>
        <v>0</v>
      </c>
    </row>
    <row r="82" spans="2:12" s="45" customFormat="1" ht="11.25" customHeight="1">
      <c r="B82" s="324"/>
      <c r="C82" s="324"/>
      <c r="D82" s="326"/>
      <c r="E82" s="327"/>
      <c r="F82" s="325"/>
      <c r="G82" s="327"/>
      <c r="H82" s="325"/>
      <c r="I82" s="328"/>
      <c r="J82" s="325"/>
      <c r="K82" s="328">
        <f>IF(RentTimePeriod="Annual",'Rent Roll Detail Input'!M86*12,'Rent Roll Detail Input'!M86)</f>
        <v>0</v>
      </c>
      <c r="L82" s="325">
        <f t="shared" si="8"/>
        <v>0</v>
      </c>
    </row>
    <row r="83" spans="2:12" s="45" customFormat="1" ht="11.25" customHeight="1">
      <c r="B83" s="324"/>
      <c r="C83" s="324"/>
      <c r="D83" s="326"/>
      <c r="E83" s="327"/>
      <c r="F83" s="325"/>
      <c r="G83" s="327"/>
      <c r="H83" s="325"/>
      <c r="I83" s="328"/>
      <c r="J83" s="325"/>
      <c r="K83" s="328">
        <f>IF(RentTimePeriod="Annual",'Rent Roll Detail Input'!M87*12,'Rent Roll Detail Input'!M87)</f>
        <v>0</v>
      </c>
      <c r="L83" s="325">
        <f t="shared" si="8"/>
        <v>0</v>
      </c>
    </row>
    <row r="84" spans="2:12" s="45" customFormat="1" ht="11.25" customHeight="1">
      <c r="B84" s="324"/>
      <c r="C84" s="324"/>
      <c r="D84" s="326"/>
      <c r="E84" s="327"/>
      <c r="F84" s="325"/>
      <c r="G84" s="327"/>
      <c r="H84" s="325"/>
      <c r="I84" s="328"/>
      <c r="J84" s="325"/>
      <c r="K84" s="328">
        <f>IF(RentTimePeriod="Annual",'Rent Roll Detail Input'!M88*12,'Rent Roll Detail Input'!M88)</f>
        <v>0</v>
      </c>
      <c r="L84" s="325">
        <f t="shared" si="8"/>
        <v>0</v>
      </c>
    </row>
    <row r="85" spans="2:12" s="45" customFormat="1" ht="11.25" customHeight="1">
      <c r="B85" s="324"/>
      <c r="C85" s="324"/>
      <c r="D85" s="326"/>
      <c r="E85" s="327"/>
      <c r="F85" s="325"/>
      <c r="G85" s="327"/>
      <c r="H85" s="325"/>
      <c r="I85" s="328"/>
      <c r="J85" s="325"/>
      <c r="K85" s="328">
        <f>IF(RentTimePeriod="Annual",'Rent Roll Detail Input'!M89*12,'Rent Roll Detail Input'!M89)</f>
        <v>0</v>
      </c>
      <c r="L85" s="325">
        <f t="shared" si="8"/>
        <v>0</v>
      </c>
    </row>
    <row r="86" spans="2:12" s="45" customFormat="1" ht="11.25" customHeight="1">
      <c r="B86" s="324"/>
      <c r="C86" s="324"/>
      <c r="D86" s="326"/>
      <c r="E86" s="327"/>
      <c r="F86" s="325"/>
      <c r="G86" s="327"/>
      <c r="H86" s="325"/>
      <c r="I86" s="328"/>
      <c r="J86" s="325"/>
      <c r="K86" s="328">
        <f>IF(RentTimePeriod="Annual",'Rent Roll Detail Input'!M90*12,'Rent Roll Detail Input'!M90)</f>
        <v>0</v>
      </c>
      <c r="L86" s="325">
        <f t="shared" si="8"/>
        <v>0</v>
      </c>
    </row>
    <row r="87" spans="2:12" s="45" customFormat="1" ht="11.25" customHeight="1">
      <c r="B87" s="324"/>
      <c r="C87" s="324"/>
      <c r="D87" s="326"/>
      <c r="E87" s="327"/>
      <c r="F87" s="325"/>
      <c r="G87" s="327"/>
      <c r="H87" s="325"/>
      <c r="I87" s="328"/>
      <c r="J87" s="325"/>
      <c r="K87" s="328">
        <f>IF(RentTimePeriod="Annual",'Rent Roll Detail Input'!M91*12,'Rent Roll Detail Input'!M91)</f>
        <v>0</v>
      </c>
      <c r="L87" s="325">
        <f t="shared" si="8"/>
        <v>0</v>
      </c>
    </row>
    <row r="88" spans="2:12" s="45" customFormat="1" ht="11.25" customHeight="1">
      <c r="B88" s="324"/>
      <c r="C88" s="324"/>
      <c r="D88" s="326"/>
      <c r="E88" s="327"/>
      <c r="F88" s="325"/>
      <c r="G88" s="327"/>
      <c r="H88" s="325"/>
      <c r="I88" s="328"/>
      <c r="J88" s="325"/>
      <c r="K88" s="328">
        <f>IF(RentTimePeriod="Annual",'Rent Roll Detail Input'!M92*12,'Rent Roll Detail Input'!M92)</f>
        <v>0</v>
      </c>
      <c r="L88" s="325">
        <f t="shared" si="8"/>
        <v>0</v>
      </c>
    </row>
    <row r="89" spans="2:12" s="45" customFormat="1" ht="11.25" customHeight="1">
      <c r="B89" s="324"/>
      <c r="C89" s="324"/>
      <c r="D89" s="326"/>
      <c r="E89" s="327"/>
      <c r="F89" s="325"/>
      <c r="G89" s="327"/>
      <c r="H89" s="325"/>
      <c r="I89" s="328"/>
      <c r="J89" s="325"/>
      <c r="K89" s="328">
        <f>IF(RentTimePeriod="Annual",'Rent Roll Detail Input'!M93*12,'Rent Roll Detail Input'!M93)</f>
        <v>0</v>
      </c>
      <c r="L89" s="325">
        <f t="shared" si="8"/>
        <v>0</v>
      </c>
    </row>
    <row r="90" spans="2:12" s="45" customFormat="1" ht="11.25" customHeight="1">
      <c r="B90" s="324"/>
      <c r="C90" s="324"/>
      <c r="D90" s="326"/>
      <c r="E90" s="327"/>
      <c r="F90" s="325"/>
      <c r="G90" s="327"/>
      <c r="H90" s="325"/>
      <c r="I90" s="328"/>
      <c r="J90" s="325"/>
      <c r="K90" s="328">
        <f>IF(RentTimePeriod="Annual",'Rent Roll Detail Input'!M94*12,'Rent Roll Detail Input'!M94)</f>
        <v>0</v>
      </c>
      <c r="L90" s="325">
        <f t="shared" si="8"/>
        <v>0</v>
      </c>
    </row>
    <row r="91" spans="2:12" s="45" customFormat="1" ht="11.25" customHeight="1">
      <c r="B91" s="324"/>
      <c r="C91" s="324"/>
      <c r="D91" s="326"/>
      <c r="E91" s="327"/>
      <c r="F91" s="325"/>
      <c r="G91" s="327"/>
      <c r="H91" s="325"/>
      <c r="I91" s="328"/>
      <c r="J91" s="325"/>
      <c r="K91" s="328">
        <f>IF(RentTimePeriod="Annual",'Rent Roll Detail Input'!M95*12,'Rent Roll Detail Input'!M95)</f>
        <v>0</v>
      </c>
      <c r="L91" s="325">
        <f t="shared" si="8"/>
        <v>0</v>
      </c>
    </row>
    <row r="92" spans="2:12" s="45" customFormat="1" ht="11.25" customHeight="1">
      <c r="B92" s="324"/>
      <c r="C92" s="324"/>
      <c r="D92" s="326"/>
      <c r="E92" s="327"/>
      <c r="F92" s="325"/>
      <c r="G92" s="327"/>
      <c r="H92" s="325"/>
      <c r="I92" s="328"/>
      <c r="J92" s="325"/>
      <c r="K92" s="328">
        <f>IF(RentTimePeriod="Annual",'Rent Roll Detail Input'!M96*12,'Rent Roll Detail Input'!M96)</f>
        <v>0</v>
      </c>
      <c r="L92" s="325">
        <f t="shared" si="8"/>
        <v>0</v>
      </c>
    </row>
    <row r="93" spans="2:12" s="45" customFormat="1" ht="11.25" customHeight="1">
      <c r="B93" s="324"/>
      <c r="C93" s="324"/>
      <c r="D93" s="326"/>
      <c r="E93" s="327"/>
      <c r="F93" s="325"/>
      <c r="G93" s="327"/>
      <c r="H93" s="325"/>
      <c r="I93" s="328"/>
      <c r="J93" s="325"/>
      <c r="K93" s="328">
        <f>IF(RentTimePeriod="Annual",'Rent Roll Detail Input'!M97*12,'Rent Roll Detail Input'!M97)</f>
        <v>0</v>
      </c>
      <c r="L93" s="325">
        <f t="shared" si="8"/>
        <v>0</v>
      </c>
    </row>
    <row r="94" spans="2:12" s="45" customFormat="1" ht="11.25" customHeight="1">
      <c r="B94" s="324"/>
      <c r="C94" s="324"/>
      <c r="D94" s="326"/>
      <c r="E94" s="327"/>
      <c r="F94" s="325"/>
      <c r="G94" s="327"/>
      <c r="H94" s="325"/>
      <c r="I94" s="328"/>
      <c r="J94" s="325"/>
      <c r="K94" s="328">
        <f>IF(RentTimePeriod="Annual",'Rent Roll Detail Input'!M98*12,'Rent Roll Detail Input'!M98)</f>
        <v>0</v>
      </c>
      <c r="L94" s="325">
        <f t="shared" si="8"/>
        <v>0</v>
      </c>
    </row>
    <row r="95" spans="2:12" s="45" customFormat="1" ht="11.25" customHeight="1">
      <c r="B95" s="324"/>
      <c r="C95" s="324"/>
      <c r="D95" s="326"/>
      <c r="E95" s="327"/>
      <c r="F95" s="325"/>
      <c r="G95" s="327"/>
      <c r="H95" s="325"/>
      <c r="I95" s="328"/>
      <c r="J95" s="325"/>
      <c r="K95" s="328">
        <f>IF(RentTimePeriod="Annual",'Rent Roll Detail Input'!M99*12,'Rent Roll Detail Input'!M99)</f>
        <v>0</v>
      </c>
      <c r="L95" s="325">
        <f t="shared" si="8"/>
        <v>0</v>
      </c>
    </row>
    <row r="96" spans="2:12" s="45" customFormat="1" ht="11.25" customHeight="1">
      <c r="B96" s="324"/>
      <c r="C96" s="324"/>
      <c r="D96" s="326"/>
      <c r="E96" s="327"/>
      <c r="F96" s="325"/>
      <c r="G96" s="327"/>
      <c r="H96" s="325"/>
      <c r="I96" s="328"/>
      <c r="J96" s="325"/>
      <c r="K96" s="328">
        <f>IF(RentTimePeriod="Annual",'Rent Roll Detail Input'!M100*12,'Rent Roll Detail Input'!M100)</f>
        <v>0</v>
      </c>
      <c r="L96" s="325">
        <f t="shared" si="8"/>
        <v>0</v>
      </c>
    </row>
    <row r="97" spans="2:12" s="45" customFormat="1" ht="11.25" customHeight="1">
      <c r="B97" s="324"/>
      <c r="C97" s="324"/>
      <c r="D97" s="326"/>
      <c r="E97" s="327"/>
      <c r="F97" s="325"/>
      <c r="G97" s="327"/>
      <c r="H97" s="325"/>
      <c r="I97" s="328"/>
      <c r="J97" s="325"/>
      <c r="K97" s="328">
        <f>IF(RentTimePeriod="Annual",'Rent Roll Detail Input'!M101*12,'Rent Roll Detail Input'!M101)</f>
        <v>0</v>
      </c>
      <c r="L97" s="325">
        <f t="shared" si="8"/>
        <v>0</v>
      </c>
    </row>
    <row r="98" spans="2:12" s="45" customFormat="1" ht="11.25" customHeight="1">
      <c r="B98" s="324"/>
      <c r="C98" s="324"/>
      <c r="D98" s="326"/>
      <c r="E98" s="327"/>
      <c r="F98" s="325"/>
      <c r="G98" s="327"/>
      <c r="H98" s="325"/>
      <c r="I98" s="328"/>
      <c r="J98" s="325"/>
      <c r="K98" s="328">
        <f>IF(RentTimePeriod="Annual",'Rent Roll Detail Input'!M102*12,'Rent Roll Detail Input'!M102)</f>
        <v>0</v>
      </c>
      <c r="L98" s="325">
        <f t="shared" si="8"/>
        <v>0</v>
      </c>
    </row>
    <row r="99" spans="2:12" s="45" customFormat="1" ht="11.25" customHeight="1">
      <c r="B99" s="324"/>
      <c r="C99" s="324"/>
      <c r="D99" s="326"/>
      <c r="E99" s="327"/>
      <c r="F99" s="325"/>
      <c r="G99" s="327"/>
      <c r="H99" s="325"/>
      <c r="I99" s="328"/>
      <c r="J99" s="325"/>
      <c r="K99" s="328">
        <f>IF(RentTimePeriod="Annual",'Rent Roll Detail Input'!M103*12,'Rent Roll Detail Input'!M103)</f>
        <v>0</v>
      </c>
      <c r="L99" s="325">
        <f t="shared" si="8"/>
        <v>0</v>
      </c>
    </row>
    <row r="100" spans="2:12" s="45" customFormat="1" ht="11.25" customHeight="1">
      <c r="B100" s="324"/>
      <c r="C100" s="324"/>
      <c r="D100" s="326"/>
      <c r="E100" s="327"/>
      <c r="F100" s="325"/>
      <c r="G100" s="327"/>
      <c r="H100" s="325"/>
      <c r="I100" s="328"/>
      <c r="J100" s="325"/>
      <c r="K100" s="328">
        <f>IF(RentTimePeriod="Annual",'Rent Roll Detail Input'!M104*12,'Rent Roll Detail Input'!M104)</f>
        <v>0</v>
      </c>
      <c r="L100" s="325">
        <f t="shared" si="8"/>
        <v>0</v>
      </c>
    </row>
    <row r="101" spans="2:12" s="45" customFormat="1" ht="11.25" customHeight="1">
      <c r="B101" s="324"/>
      <c r="C101" s="324"/>
      <c r="D101" s="326"/>
      <c r="E101" s="327"/>
      <c r="F101" s="325"/>
      <c r="G101" s="327"/>
      <c r="H101" s="325"/>
      <c r="I101" s="328"/>
      <c r="J101" s="325"/>
      <c r="K101" s="328">
        <f>IF(RentTimePeriod="Annual",'Rent Roll Detail Input'!M105*12,'Rent Roll Detail Input'!M105)</f>
        <v>0</v>
      </c>
      <c r="L101" s="325">
        <f t="shared" si="8"/>
        <v>0</v>
      </c>
    </row>
    <row r="102" spans="2:12" s="45" customFormat="1" ht="11.25" customHeight="1">
      <c r="B102" s="324"/>
      <c r="C102" s="324"/>
      <c r="D102" s="326"/>
      <c r="E102" s="327"/>
      <c r="F102" s="325"/>
      <c r="G102" s="327"/>
      <c r="H102" s="325"/>
      <c r="I102" s="328"/>
      <c r="J102" s="325"/>
      <c r="K102" s="328">
        <f>IF(RentTimePeriod="Annual",'Rent Roll Detail Input'!M106*12,'Rent Roll Detail Input'!M106)</f>
        <v>0</v>
      </c>
      <c r="L102" s="325">
        <f t="shared" si="8"/>
        <v>0</v>
      </c>
    </row>
    <row r="103" spans="2:12" s="45" customFormat="1" ht="11.25" customHeight="1">
      <c r="B103" s="324"/>
      <c r="C103" s="324"/>
      <c r="D103" s="326"/>
      <c r="E103" s="327"/>
      <c r="F103" s="325"/>
      <c r="G103" s="327"/>
      <c r="H103" s="325"/>
      <c r="I103" s="328"/>
      <c r="J103" s="325"/>
      <c r="K103" s="328">
        <f>IF(RentTimePeriod="Annual",'Rent Roll Detail Input'!M107*12,'Rent Roll Detail Input'!M107)</f>
        <v>0</v>
      </c>
      <c r="L103" s="325">
        <f t="shared" si="8"/>
        <v>0</v>
      </c>
    </row>
    <row r="104" spans="2:12" s="45" customFormat="1" ht="11.25" customHeight="1">
      <c r="B104" s="324"/>
      <c r="C104" s="324"/>
      <c r="D104" s="326"/>
      <c r="E104" s="327"/>
      <c r="F104" s="325"/>
      <c r="G104" s="327"/>
      <c r="H104" s="325"/>
      <c r="I104" s="328"/>
      <c r="J104" s="325"/>
      <c r="K104" s="328">
        <f>IF(RentTimePeriod="Annual",'Rent Roll Detail Input'!M108*12,'Rent Roll Detail Input'!M108)</f>
        <v>0</v>
      </c>
      <c r="L104" s="325">
        <f t="shared" si="8"/>
        <v>0</v>
      </c>
    </row>
    <row r="105" spans="2:12" s="45" customFormat="1" ht="11.25" customHeight="1">
      <c r="B105" s="324"/>
      <c r="C105" s="324"/>
      <c r="D105" s="326"/>
      <c r="E105" s="327"/>
      <c r="F105" s="325"/>
      <c r="G105" s="327"/>
      <c r="H105" s="325"/>
      <c r="I105" s="328"/>
      <c r="J105" s="325"/>
      <c r="K105" s="328">
        <f>IF(RentTimePeriod="Annual",'Rent Roll Detail Input'!M109*12,'Rent Roll Detail Input'!M109)</f>
        <v>0</v>
      </c>
      <c r="L105" s="325">
        <f t="shared" si="8"/>
        <v>0</v>
      </c>
    </row>
    <row r="106" spans="2:12" s="45" customFormat="1" ht="11.25" customHeight="1">
      <c r="B106" s="324"/>
      <c r="C106" s="324"/>
      <c r="D106" s="326"/>
      <c r="E106" s="327"/>
      <c r="F106" s="325"/>
      <c r="G106" s="327"/>
      <c r="H106" s="325"/>
      <c r="I106" s="328"/>
      <c r="J106" s="325"/>
      <c r="K106" s="328">
        <f>IF(RentTimePeriod="Annual",'Rent Roll Detail Input'!M110*12,'Rent Roll Detail Input'!M110)</f>
        <v>0</v>
      </c>
      <c r="L106" s="325">
        <f t="shared" si="8"/>
        <v>0</v>
      </c>
    </row>
    <row r="107" spans="2:12" s="45" customFormat="1" ht="11.25" customHeight="1">
      <c r="B107" s="324"/>
      <c r="C107" s="324"/>
      <c r="D107" s="326"/>
      <c r="E107" s="327"/>
      <c r="F107" s="325"/>
      <c r="G107" s="327"/>
      <c r="H107" s="325"/>
      <c r="I107" s="328"/>
      <c r="J107" s="325"/>
      <c r="K107" s="328">
        <f>IF(RentTimePeriod="Annual",'Rent Roll Detail Input'!M111*12,'Rent Roll Detail Input'!M111)</f>
        <v>0</v>
      </c>
      <c r="L107" s="325">
        <f t="shared" si="8"/>
        <v>0</v>
      </c>
    </row>
    <row r="108" spans="2:12" s="45" customFormat="1" ht="11.25" customHeight="1">
      <c r="B108" s="324"/>
      <c r="C108" s="324"/>
      <c r="D108" s="326"/>
      <c r="E108" s="327"/>
      <c r="F108" s="325"/>
      <c r="G108" s="327"/>
      <c r="H108" s="325"/>
      <c r="I108" s="328"/>
      <c r="J108" s="325"/>
      <c r="K108" s="328">
        <f>IF(RentTimePeriod="Annual",'Rent Roll Detail Input'!M112*12,'Rent Roll Detail Input'!M112)</f>
        <v>0</v>
      </c>
      <c r="L108" s="325">
        <f t="shared" si="8"/>
        <v>0</v>
      </c>
    </row>
    <row r="109" spans="2:12" s="45" customFormat="1" ht="11.25" customHeight="1">
      <c r="B109" s="324"/>
      <c r="C109" s="324"/>
      <c r="D109" s="326"/>
      <c r="E109" s="327"/>
      <c r="F109" s="325"/>
      <c r="G109" s="327"/>
      <c r="H109" s="325"/>
      <c r="I109" s="328"/>
      <c r="J109" s="325"/>
      <c r="K109" s="328">
        <f>IF(RentTimePeriod="Annual",'Rent Roll Detail Input'!M113*12,'Rent Roll Detail Input'!M113)</f>
        <v>0</v>
      </c>
      <c r="L109" s="325">
        <f t="shared" si="8"/>
        <v>0</v>
      </c>
    </row>
    <row r="110" spans="2:12" s="45" customFormat="1" ht="11.25" customHeight="1">
      <c r="B110" s="324"/>
      <c r="C110" s="324"/>
      <c r="D110" s="326"/>
      <c r="E110" s="327"/>
      <c r="F110" s="325"/>
      <c r="G110" s="327"/>
      <c r="H110" s="325"/>
      <c r="I110" s="328"/>
      <c r="J110" s="325"/>
      <c r="K110" s="328">
        <f>IF(RentTimePeriod="Annual",'Rent Roll Detail Input'!M114*12,'Rent Roll Detail Input'!M114)</f>
        <v>0</v>
      </c>
      <c r="L110" s="325">
        <f t="shared" si="8"/>
        <v>0</v>
      </c>
    </row>
    <row r="111" spans="2:12" s="45" customFormat="1" ht="11.25" customHeight="1">
      <c r="B111" s="324"/>
      <c r="C111" s="324"/>
      <c r="D111" s="326"/>
      <c r="E111" s="327"/>
      <c r="F111" s="325"/>
      <c r="G111" s="327"/>
      <c r="H111" s="325"/>
      <c r="I111" s="328"/>
      <c r="J111" s="325"/>
      <c r="K111" s="328">
        <f>IF(RentTimePeriod="Annual",'Rent Roll Detail Input'!M115*12,'Rent Roll Detail Input'!M115)</f>
        <v>0</v>
      </c>
      <c r="L111" s="325">
        <f t="shared" si="8"/>
        <v>0</v>
      </c>
    </row>
    <row r="112" spans="2:12" s="45" customFormat="1" ht="11.25" customHeight="1">
      <c r="B112" s="324"/>
      <c r="C112" s="324"/>
      <c r="D112" s="326"/>
      <c r="E112" s="327"/>
      <c r="F112" s="325"/>
      <c r="G112" s="327"/>
      <c r="H112" s="325"/>
      <c r="I112" s="328"/>
      <c r="J112" s="325"/>
      <c r="K112" s="328">
        <f>IF(RentTimePeriod="Annual",'Rent Roll Detail Input'!M116*12,'Rent Roll Detail Input'!M116)</f>
        <v>0</v>
      </c>
      <c r="L112" s="325">
        <f t="shared" si="8"/>
        <v>0</v>
      </c>
    </row>
    <row r="113" spans="2:12" s="45" customFormat="1" ht="11.25" customHeight="1">
      <c r="B113" s="324"/>
      <c r="C113" s="324"/>
      <c r="D113" s="326"/>
      <c r="E113" s="327"/>
      <c r="F113" s="325"/>
      <c r="G113" s="327"/>
      <c r="H113" s="325"/>
      <c r="I113" s="328"/>
      <c r="J113" s="325"/>
      <c r="K113" s="328">
        <f>IF(RentTimePeriod="Annual",'Rent Roll Detail Input'!M117*12,'Rent Roll Detail Input'!M117)</f>
        <v>0</v>
      </c>
      <c r="L113" s="325">
        <f t="shared" si="8"/>
        <v>0</v>
      </c>
    </row>
    <row r="114" spans="2:12" s="45" customFormat="1" ht="11.25" customHeight="1">
      <c r="B114" s="324"/>
      <c r="C114" s="324"/>
      <c r="D114" s="326"/>
      <c r="E114" s="327"/>
      <c r="F114" s="325"/>
      <c r="G114" s="327"/>
      <c r="H114" s="325"/>
      <c r="I114" s="328"/>
      <c r="J114" s="325"/>
      <c r="K114" s="328">
        <f>IF(RentTimePeriod="Annual",'Rent Roll Detail Input'!M118*12,'Rent Roll Detail Input'!M118)</f>
        <v>0</v>
      </c>
      <c r="L114" s="325">
        <f t="shared" si="8"/>
        <v>0</v>
      </c>
    </row>
    <row r="115" spans="2:12" s="45" customFormat="1" ht="11.25" customHeight="1">
      <c r="B115" s="324"/>
      <c r="C115" s="324"/>
      <c r="D115" s="326"/>
      <c r="E115" s="327"/>
      <c r="F115" s="325"/>
      <c r="G115" s="327"/>
      <c r="H115" s="325"/>
      <c r="I115" s="328"/>
      <c r="J115" s="325"/>
      <c r="K115" s="328">
        <f>IF(RentTimePeriod="Annual",'Rent Roll Detail Input'!M119*12,'Rent Roll Detail Input'!M119)</f>
        <v>0</v>
      </c>
      <c r="L115" s="325">
        <f t="shared" si="8"/>
        <v>0</v>
      </c>
    </row>
    <row r="116" spans="2:12" s="45" customFormat="1" ht="11.25" customHeight="1">
      <c r="B116" s="324"/>
      <c r="C116" s="324"/>
      <c r="D116" s="326"/>
      <c r="E116" s="327"/>
      <c r="F116" s="325"/>
      <c r="G116" s="327"/>
      <c r="H116" s="325"/>
      <c r="I116" s="328"/>
      <c r="J116" s="325"/>
      <c r="K116" s="328">
        <f>IF(RentTimePeriod="Annual",'Rent Roll Detail Input'!M120*12,'Rent Roll Detail Input'!M120)</f>
        <v>0</v>
      </c>
      <c r="L116" s="325">
        <f t="shared" si="8"/>
        <v>0</v>
      </c>
    </row>
    <row r="117" spans="2:12" s="45" customFormat="1" ht="11.25" customHeight="1">
      <c r="B117" s="324"/>
      <c r="C117" s="324"/>
      <c r="D117" s="326"/>
      <c r="E117" s="327"/>
      <c r="F117" s="325"/>
      <c r="G117" s="327"/>
      <c r="H117" s="325"/>
      <c r="I117" s="328"/>
      <c r="J117" s="325"/>
      <c r="K117" s="328">
        <f>IF(RentTimePeriod="Annual",'Rent Roll Detail Input'!M121*12,'Rent Roll Detail Input'!M121)</f>
        <v>0</v>
      </c>
      <c r="L117" s="325">
        <f t="shared" si="8"/>
        <v>0</v>
      </c>
    </row>
    <row r="118" spans="2:12" s="45" customFormat="1" ht="11.25" customHeight="1">
      <c r="B118" s="324"/>
      <c r="C118" s="324"/>
      <c r="D118" s="326"/>
      <c r="E118" s="327"/>
      <c r="F118" s="325"/>
      <c r="G118" s="327"/>
      <c r="H118" s="325"/>
      <c r="I118" s="328"/>
      <c r="J118" s="325"/>
      <c r="K118" s="328">
        <f>IF(RentTimePeriod="Annual",'Rent Roll Detail Input'!M122*12,'Rent Roll Detail Input'!M122)</f>
        <v>0</v>
      </c>
      <c r="L118" s="325">
        <f t="shared" si="8"/>
        <v>0</v>
      </c>
    </row>
    <row r="119" spans="2:12" s="45" customFormat="1" ht="11.25" customHeight="1">
      <c r="B119" s="324"/>
      <c r="C119" s="324"/>
      <c r="D119" s="326"/>
      <c r="E119" s="327"/>
      <c r="F119" s="325"/>
      <c r="G119" s="327"/>
      <c r="H119" s="325"/>
      <c r="I119" s="328"/>
      <c r="J119" s="325"/>
      <c r="K119" s="328">
        <f>IF(RentTimePeriod="Annual",'Rent Roll Detail Input'!M123*12,'Rent Roll Detail Input'!M123)</f>
        <v>0</v>
      </c>
      <c r="L119" s="325">
        <f t="shared" si="8"/>
        <v>0</v>
      </c>
    </row>
    <row r="120" spans="2:12" s="45" customFormat="1" ht="11.25" customHeight="1">
      <c r="B120" s="324"/>
      <c r="C120" s="324"/>
      <c r="D120" s="326"/>
      <c r="E120" s="327"/>
      <c r="F120" s="325"/>
      <c r="G120" s="327"/>
      <c r="H120" s="325"/>
      <c r="I120" s="328"/>
      <c r="J120" s="325"/>
      <c r="K120" s="328">
        <f>IF(RentTimePeriod="Annual",'Rent Roll Detail Input'!M124*12,'Rent Roll Detail Input'!M124)</f>
        <v>0</v>
      </c>
      <c r="L120" s="325">
        <f t="shared" si="8"/>
        <v>0</v>
      </c>
    </row>
    <row r="121" spans="2:12" s="45" customFormat="1" ht="11.25" customHeight="1">
      <c r="B121" s="324"/>
      <c r="C121" s="324"/>
      <c r="D121" s="326"/>
      <c r="E121" s="327"/>
      <c r="F121" s="325"/>
      <c r="G121" s="327"/>
      <c r="H121" s="325"/>
      <c r="I121" s="328"/>
      <c r="J121" s="325"/>
      <c r="K121" s="328">
        <f>IF(RentTimePeriod="Annual",'Rent Roll Detail Input'!M125*12,'Rent Roll Detail Input'!M125)</f>
        <v>0</v>
      </c>
      <c r="L121" s="325">
        <f t="shared" si="8"/>
        <v>0</v>
      </c>
    </row>
    <row r="122" spans="2:12" s="45" customFormat="1" ht="11.25" customHeight="1">
      <c r="B122" s="324"/>
      <c r="C122" s="324"/>
      <c r="D122" s="326"/>
      <c r="E122" s="327"/>
      <c r="F122" s="325"/>
      <c r="G122" s="327"/>
      <c r="H122" s="325"/>
      <c r="I122" s="328"/>
      <c r="J122" s="325"/>
      <c r="K122" s="328">
        <f>IF(RentTimePeriod="Annual",'Rent Roll Detail Input'!M126*12,'Rent Roll Detail Input'!M126)</f>
        <v>0</v>
      </c>
      <c r="L122" s="325">
        <f t="shared" si="8"/>
        <v>0</v>
      </c>
    </row>
    <row r="123" spans="2:12" s="45" customFormat="1" ht="11.25" customHeight="1">
      <c r="B123" s="324"/>
      <c r="C123" s="324"/>
      <c r="D123" s="326"/>
      <c r="E123" s="327"/>
      <c r="F123" s="325"/>
      <c r="G123" s="327"/>
      <c r="H123" s="325"/>
      <c r="I123" s="328"/>
      <c r="J123" s="325"/>
      <c r="K123" s="328">
        <f>IF(RentTimePeriod="Annual",'Rent Roll Detail Input'!M127*12,'Rent Roll Detail Input'!M127)</f>
        <v>0</v>
      </c>
      <c r="L123" s="325">
        <f t="shared" si="8"/>
        <v>0</v>
      </c>
    </row>
    <row r="124" spans="2:12" s="45" customFormat="1" ht="11.25" customHeight="1">
      <c r="B124" s="324"/>
      <c r="C124" s="324"/>
      <c r="D124" s="326"/>
      <c r="E124" s="327"/>
      <c r="F124" s="325"/>
      <c r="G124" s="327"/>
      <c r="H124" s="325"/>
      <c r="I124" s="328"/>
      <c r="J124" s="325"/>
      <c r="K124" s="328">
        <f>IF(RentTimePeriod="Annual",'Rent Roll Detail Input'!M128*12,'Rent Roll Detail Input'!M128)</f>
        <v>0</v>
      </c>
      <c r="L124" s="325">
        <f t="shared" si="8"/>
        <v>0</v>
      </c>
    </row>
    <row r="125" spans="2:12" s="45" customFormat="1" ht="11.25" customHeight="1">
      <c r="B125" s="324"/>
      <c r="C125" s="324"/>
      <c r="D125" s="326"/>
      <c r="E125" s="327"/>
      <c r="F125" s="325"/>
      <c r="G125" s="327"/>
      <c r="H125" s="325"/>
      <c r="I125" s="328"/>
      <c r="J125" s="325"/>
      <c r="K125" s="328">
        <f>IF(RentTimePeriod="Annual",'Rent Roll Detail Input'!M129*12,'Rent Roll Detail Input'!M129)</f>
        <v>0</v>
      </c>
      <c r="L125" s="325">
        <f t="shared" si="8"/>
        <v>0</v>
      </c>
    </row>
    <row r="126" spans="2:12" s="45" customFormat="1" ht="11.25" customHeight="1">
      <c r="B126" s="324"/>
      <c r="C126" s="324"/>
      <c r="D126" s="326"/>
      <c r="E126" s="327"/>
      <c r="F126" s="325"/>
      <c r="G126" s="327"/>
      <c r="H126" s="325"/>
      <c r="I126" s="328"/>
      <c r="J126" s="325"/>
      <c r="K126" s="328">
        <f>IF(RentTimePeriod="Annual",'Rent Roll Detail Input'!M130*12,'Rent Roll Detail Input'!M130)</f>
        <v>0</v>
      </c>
      <c r="L126" s="325">
        <f t="shared" si="8"/>
        <v>0</v>
      </c>
    </row>
    <row r="127" spans="2:12" s="45" customFormat="1" ht="11.25" customHeight="1">
      <c r="B127" s="324"/>
      <c r="C127" s="324"/>
      <c r="D127" s="326"/>
      <c r="E127" s="327"/>
      <c r="F127" s="325"/>
      <c r="G127" s="327"/>
      <c r="H127" s="325"/>
      <c r="I127" s="328"/>
      <c r="J127" s="325"/>
      <c r="K127" s="328">
        <f>IF(RentTimePeriod="Annual",'Rent Roll Detail Input'!M131*12,'Rent Roll Detail Input'!M131)</f>
        <v>0</v>
      </c>
      <c r="L127" s="325">
        <f t="shared" si="8"/>
        <v>0</v>
      </c>
    </row>
    <row r="128" spans="2:12" s="45" customFormat="1" ht="11.25" customHeight="1">
      <c r="B128" s="324"/>
      <c r="C128" s="324"/>
      <c r="D128" s="326"/>
      <c r="E128" s="327"/>
      <c r="F128" s="325"/>
      <c r="G128" s="327"/>
      <c r="H128" s="325"/>
      <c r="I128" s="328"/>
      <c r="J128" s="325"/>
      <c r="K128" s="328">
        <f>IF(RentTimePeriod="Annual",'Rent Roll Detail Input'!M132*12,'Rent Roll Detail Input'!M132)</f>
        <v>0</v>
      </c>
      <c r="L128" s="325">
        <f t="shared" si="8"/>
        <v>0</v>
      </c>
    </row>
    <row r="129" spans="2:12" s="45" customFormat="1" ht="11.25" customHeight="1">
      <c r="B129" s="324"/>
      <c r="C129" s="324"/>
      <c r="D129" s="326"/>
      <c r="E129" s="327"/>
      <c r="F129" s="325"/>
      <c r="G129" s="327"/>
      <c r="H129" s="325"/>
      <c r="I129" s="328"/>
      <c r="J129" s="325"/>
      <c r="K129" s="328">
        <f>IF(RentTimePeriod="Annual",'Rent Roll Detail Input'!M133*12,'Rent Roll Detail Input'!M133)</f>
        <v>0</v>
      </c>
      <c r="L129" s="325">
        <f t="shared" si="8"/>
        <v>0</v>
      </c>
    </row>
    <row r="130" spans="2:12" s="45" customFormat="1" ht="11.25" customHeight="1">
      <c r="B130" s="324"/>
      <c r="C130" s="324"/>
      <c r="D130" s="326"/>
      <c r="E130" s="327"/>
      <c r="F130" s="325"/>
      <c r="G130" s="327"/>
      <c r="H130" s="325"/>
      <c r="I130" s="328"/>
      <c r="J130" s="325"/>
      <c r="K130" s="328">
        <f>IF(RentTimePeriod="Annual",'Rent Roll Detail Input'!M134*12,'Rent Roll Detail Input'!M134)</f>
        <v>0</v>
      </c>
      <c r="L130" s="325">
        <f t="shared" si="8"/>
        <v>0</v>
      </c>
    </row>
    <row r="131" spans="2:12" s="45" customFormat="1" ht="11.25" customHeight="1">
      <c r="B131" s="324"/>
      <c r="C131" s="324"/>
      <c r="D131" s="326"/>
      <c r="E131" s="327"/>
      <c r="F131" s="325"/>
      <c r="G131" s="327"/>
      <c r="H131" s="325"/>
      <c r="I131" s="328"/>
      <c r="J131" s="325"/>
      <c r="K131" s="328">
        <f>IF(RentTimePeriod="Annual",'Rent Roll Detail Input'!M135*12,'Rent Roll Detail Input'!M135)</f>
        <v>0</v>
      </c>
      <c r="L131" s="325">
        <f t="shared" si="8"/>
        <v>0</v>
      </c>
    </row>
    <row r="132" spans="2:12" s="45" customFormat="1" ht="11.25" customHeight="1">
      <c r="B132" s="324"/>
      <c r="C132" s="324"/>
      <c r="D132" s="326"/>
      <c r="E132" s="327"/>
      <c r="F132" s="325"/>
      <c r="G132" s="327"/>
      <c r="H132" s="325"/>
      <c r="I132" s="328"/>
      <c r="J132" s="325"/>
      <c r="K132" s="328">
        <f>IF(RentTimePeriod="Annual",'Rent Roll Detail Input'!M136*12,'Rent Roll Detail Input'!M136)</f>
        <v>0</v>
      </c>
      <c r="L132" s="325">
        <f t="shared" si="8"/>
        <v>0</v>
      </c>
    </row>
    <row r="133" spans="2:12" s="45" customFormat="1" ht="11.25" customHeight="1">
      <c r="B133" s="324"/>
      <c r="C133" s="324"/>
      <c r="D133" s="326"/>
      <c r="E133" s="327"/>
      <c r="F133" s="325"/>
      <c r="G133" s="327"/>
      <c r="H133" s="325"/>
      <c r="I133" s="328"/>
      <c r="J133" s="325"/>
      <c r="K133" s="328">
        <f>IF(RentTimePeriod="Annual",'Rent Roll Detail Input'!M137*12,'Rent Roll Detail Input'!M137)</f>
        <v>0</v>
      </c>
      <c r="L133" s="325">
        <f t="shared" si="8"/>
        <v>0</v>
      </c>
    </row>
    <row r="134" spans="2:12" s="45" customFormat="1" ht="11.25" customHeight="1">
      <c r="B134" s="324"/>
      <c r="C134" s="324"/>
      <c r="D134" s="326"/>
      <c r="E134" s="327"/>
      <c r="F134" s="325"/>
      <c r="G134" s="327"/>
      <c r="H134" s="325"/>
      <c r="I134" s="328"/>
      <c r="J134" s="325"/>
      <c r="K134" s="328">
        <f>IF(RentTimePeriod="Annual",'Rent Roll Detail Input'!M138*12,'Rent Roll Detail Input'!M138)</f>
        <v>0</v>
      </c>
      <c r="L134" s="325">
        <f t="shared" si="8"/>
        <v>0</v>
      </c>
    </row>
    <row r="135" spans="2:12" s="45" customFormat="1" ht="11.25" customHeight="1">
      <c r="B135" s="324"/>
      <c r="C135" s="324"/>
      <c r="D135" s="326"/>
      <c r="E135" s="327"/>
      <c r="F135" s="325"/>
      <c r="G135" s="327"/>
      <c r="H135" s="325"/>
      <c r="I135" s="328"/>
      <c r="J135" s="325"/>
      <c r="K135" s="328">
        <f>IF(RentTimePeriod="Annual",'Rent Roll Detail Input'!M139*12,'Rent Roll Detail Input'!M139)</f>
        <v>0</v>
      </c>
      <c r="L135" s="325">
        <f t="shared" si="8"/>
        <v>0</v>
      </c>
    </row>
    <row r="136" spans="2:12" s="45" customFormat="1" ht="11.25" customHeight="1">
      <c r="B136" s="324"/>
      <c r="C136" s="324"/>
      <c r="D136" s="326"/>
      <c r="E136" s="327"/>
      <c r="F136" s="325"/>
      <c r="G136" s="327"/>
      <c r="H136" s="325"/>
      <c r="I136" s="328"/>
      <c r="J136" s="325"/>
      <c r="K136" s="328">
        <f>IF(RentTimePeriod="Annual",'Rent Roll Detail Input'!M140*12,'Rent Roll Detail Input'!M140)</f>
        <v>0</v>
      </c>
      <c r="L136" s="325">
        <f t="shared" ref="L136:L199" si="9">IF(D136="N/A","N/A",IFERROR(K136/D136,0))</f>
        <v>0</v>
      </c>
    </row>
    <row r="137" spans="2:12" s="45" customFormat="1" ht="11.25" customHeight="1">
      <c r="B137" s="324"/>
      <c r="C137" s="324"/>
      <c r="D137" s="326"/>
      <c r="E137" s="327"/>
      <c r="F137" s="325"/>
      <c r="G137" s="327"/>
      <c r="H137" s="325"/>
      <c r="I137" s="328"/>
      <c r="J137" s="325"/>
      <c r="K137" s="328">
        <f>IF(RentTimePeriod="Annual",'Rent Roll Detail Input'!M141*12,'Rent Roll Detail Input'!M141)</f>
        <v>0</v>
      </c>
      <c r="L137" s="325">
        <f t="shared" si="9"/>
        <v>0</v>
      </c>
    </row>
    <row r="138" spans="2:12" s="45" customFormat="1" ht="11.25" customHeight="1">
      <c r="B138" s="324"/>
      <c r="C138" s="324"/>
      <c r="D138" s="326"/>
      <c r="E138" s="327"/>
      <c r="F138" s="325"/>
      <c r="G138" s="327"/>
      <c r="H138" s="325"/>
      <c r="I138" s="328"/>
      <c r="J138" s="325"/>
      <c r="K138" s="328">
        <f>IF(RentTimePeriod="Annual",'Rent Roll Detail Input'!M142*12,'Rent Roll Detail Input'!M142)</f>
        <v>0</v>
      </c>
      <c r="L138" s="325">
        <f t="shared" si="9"/>
        <v>0</v>
      </c>
    </row>
    <row r="139" spans="2:12" s="45" customFormat="1" ht="11.25" customHeight="1">
      <c r="B139" s="324"/>
      <c r="C139" s="324"/>
      <c r="D139" s="326"/>
      <c r="E139" s="327"/>
      <c r="F139" s="325"/>
      <c r="G139" s="327"/>
      <c r="H139" s="325"/>
      <c r="I139" s="328"/>
      <c r="J139" s="325"/>
      <c r="K139" s="328">
        <f>IF(RentTimePeriod="Annual",'Rent Roll Detail Input'!M143*12,'Rent Roll Detail Input'!M143)</f>
        <v>0</v>
      </c>
      <c r="L139" s="325">
        <f t="shared" si="9"/>
        <v>0</v>
      </c>
    </row>
    <row r="140" spans="2:12" s="45" customFormat="1" ht="11.25" customHeight="1">
      <c r="B140" s="324"/>
      <c r="C140" s="324"/>
      <c r="D140" s="326"/>
      <c r="E140" s="327"/>
      <c r="F140" s="325"/>
      <c r="G140" s="327"/>
      <c r="H140" s="325"/>
      <c r="I140" s="328"/>
      <c r="J140" s="325"/>
      <c r="K140" s="328">
        <f>IF(RentTimePeriod="Annual",'Rent Roll Detail Input'!M144*12,'Rent Roll Detail Input'!M144)</f>
        <v>0</v>
      </c>
      <c r="L140" s="325">
        <f t="shared" si="9"/>
        <v>0</v>
      </c>
    </row>
    <row r="141" spans="2:12" s="45" customFormat="1" ht="11.25" customHeight="1">
      <c r="B141" s="324"/>
      <c r="C141" s="324"/>
      <c r="D141" s="326"/>
      <c r="E141" s="327"/>
      <c r="F141" s="325"/>
      <c r="G141" s="327"/>
      <c r="H141" s="325"/>
      <c r="I141" s="328"/>
      <c r="J141" s="325"/>
      <c r="K141" s="328">
        <f>IF(RentTimePeriod="Annual",'Rent Roll Detail Input'!M145*12,'Rent Roll Detail Input'!M145)</f>
        <v>0</v>
      </c>
      <c r="L141" s="325">
        <f t="shared" si="9"/>
        <v>0</v>
      </c>
    </row>
    <row r="142" spans="2:12" s="45" customFormat="1" ht="11.25" customHeight="1">
      <c r="B142" s="324"/>
      <c r="C142" s="324"/>
      <c r="D142" s="326"/>
      <c r="E142" s="327"/>
      <c r="F142" s="325"/>
      <c r="G142" s="327"/>
      <c r="H142" s="325"/>
      <c r="I142" s="328"/>
      <c r="J142" s="325"/>
      <c r="K142" s="328">
        <f>IF(RentTimePeriod="Annual",'Rent Roll Detail Input'!M146*12,'Rent Roll Detail Input'!M146)</f>
        <v>0</v>
      </c>
      <c r="L142" s="325">
        <f t="shared" si="9"/>
        <v>0</v>
      </c>
    </row>
    <row r="143" spans="2:12" s="45" customFormat="1" ht="11.25" customHeight="1">
      <c r="B143" s="324"/>
      <c r="C143" s="324"/>
      <c r="D143" s="326"/>
      <c r="E143" s="327"/>
      <c r="F143" s="325"/>
      <c r="G143" s="327"/>
      <c r="H143" s="325"/>
      <c r="I143" s="328"/>
      <c r="J143" s="325"/>
      <c r="K143" s="328">
        <f>IF(RentTimePeriod="Annual",'Rent Roll Detail Input'!M147*12,'Rent Roll Detail Input'!M147)</f>
        <v>0</v>
      </c>
      <c r="L143" s="325">
        <f t="shared" si="9"/>
        <v>0</v>
      </c>
    </row>
    <row r="144" spans="2:12" s="45" customFormat="1" ht="11.25" customHeight="1">
      <c r="B144" s="324"/>
      <c r="C144" s="324"/>
      <c r="D144" s="326"/>
      <c r="E144" s="327"/>
      <c r="F144" s="325"/>
      <c r="G144" s="327"/>
      <c r="H144" s="325"/>
      <c r="I144" s="328"/>
      <c r="J144" s="325"/>
      <c r="K144" s="328">
        <f>IF(RentTimePeriod="Annual",'Rent Roll Detail Input'!M148*12,'Rent Roll Detail Input'!M148)</f>
        <v>0</v>
      </c>
      <c r="L144" s="325">
        <f t="shared" si="9"/>
        <v>0</v>
      </c>
    </row>
    <row r="145" spans="2:12" s="45" customFormat="1" ht="11.25" customHeight="1">
      <c r="B145" s="324"/>
      <c r="C145" s="324"/>
      <c r="D145" s="326"/>
      <c r="E145" s="327"/>
      <c r="F145" s="325"/>
      <c r="G145" s="327"/>
      <c r="H145" s="325"/>
      <c r="I145" s="328"/>
      <c r="J145" s="325"/>
      <c r="K145" s="328">
        <f>IF(RentTimePeriod="Annual",'Rent Roll Detail Input'!M149*12,'Rent Roll Detail Input'!M149)</f>
        <v>0</v>
      </c>
      <c r="L145" s="325">
        <f t="shared" si="9"/>
        <v>0</v>
      </c>
    </row>
    <row r="146" spans="2:12" s="45" customFormat="1" ht="11.25" customHeight="1">
      <c r="B146" s="324"/>
      <c r="C146" s="324"/>
      <c r="D146" s="326"/>
      <c r="E146" s="327"/>
      <c r="F146" s="325"/>
      <c r="G146" s="327"/>
      <c r="H146" s="325"/>
      <c r="I146" s="328"/>
      <c r="J146" s="325"/>
      <c r="K146" s="328">
        <f>IF(RentTimePeriod="Annual",'Rent Roll Detail Input'!M150*12,'Rent Roll Detail Input'!M150)</f>
        <v>0</v>
      </c>
      <c r="L146" s="325">
        <f t="shared" si="9"/>
        <v>0</v>
      </c>
    </row>
    <row r="147" spans="2:12" s="45" customFormat="1" ht="11.25" customHeight="1">
      <c r="B147" s="324"/>
      <c r="C147" s="324"/>
      <c r="D147" s="326"/>
      <c r="E147" s="327"/>
      <c r="F147" s="325"/>
      <c r="G147" s="327"/>
      <c r="H147" s="325"/>
      <c r="I147" s="328"/>
      <c r="J147" s="325"/>
      <c r="K147" s="328">
        <f>IF(RentTimePeriod="Annual",'Rent Roll Detail Input'!M151*12,'Rent Roll Detail Input'!M151)</f>
        <v>0</v>
      </c>
      <c r="L147" s="325">
        <f t="shared" si="9"/>
        <v>0</v>
      </c>
    </row>
    <row r="148" spans="2:12" s="45" customFormat="1" ht="11.25" customHeight="1">
      <c r="B148" s="324"/>
      <c r="C148" s="324"/>
      <c r="D148" s="326"/>
      <c r="E148" s="327"/>
      <c r="F148" s="325"/>
      <c r="G148" s="327"/>
      <c r="H148" s="325"/>
      <c r="I148" s="328"/>
      <c r="J148" s="325"/>
      <c r="K148" s="328">
        <f>IF(RentTimePeriod="Annual",'Rent Roll Detail Input'!M152*12,'Rent Roll Detail Input'!M152)</f>
        <v>0</v>
      </c>
      <c r="L148" s="325">
        <f t="shared" si="9"/>
        <v>0</v>
      </c>
    </row>
    <row r="149" spans="2:12" s="45" customFormat="1" ht="11.25" customHeight="1">
      <c r="B149" s="324"/>
      <c r="C149" s="324"/>
      <c r="D149" s="326"/>
      <c r="E149" s="327"/>
      <c r="F149" s="325"/>
      <c r="G149" s="327"/>
      <c r="H149" s="325"/>
      <c r="I149" s="328"/>
      <c r="J149" s="325"/>
      <c r="K149" s="328">
        <f>IF(RentTimePeriod="Annual",'Rent Roll Detail Input'!M153*12,'Rent Roll Detail Input'!M153)</f>
        <v>0</v>
      </c>
      <c r="L149" s="325">
        <f t="shared" si="9"/>
        <v>0</v>
      </c>
    </row>
    <row r="150" spans="2:12" s="45" customFormat="1" ht="11.25" customHeight="1">
      <c r="B150" s="324"/>
      <c r="C150" s="324"/>
      <c r="D150" s="326"/>
      <c r="E150" s="327"/>
      <c r="F150" s="325"/>
      <c r="G150" s="327"/>
      <c r="H150" s="325"/>
      <c r="I150" s="328"/>
      <c r="J150" s="325"/>
      <c r="K150" s="328">
        <f>IF(RentTimePeriod="Annual",'Rent Roll Detail Input'!M154*12,'Rent Roll Detail Input'!M154)</f>
        <v>0</v>
      </c>
      <c r="L150" s="325">
        <f t="shared" si="9"/>
        <v>0</v>
      </c>
    </row>
    <row r="151" spans="2:12" s="45" customFormat="1" ht="11.25" customHeight="1">
      <c r="B151" s="324"/>
      <c r="C151" s="324"/>
      <c r="D151" s="326"/>
      <c r="E151" s="327"/>
      <c r="F151" s="325"/>
      <c r="G151" s="327"/>
      <c r="H151" s="325"/>
      <c r="I151" s="328"/>
      <c r="J151" s="325"/>
      <c r="K151" s="328">
        <f>IF(RentTimePeriod="Annual",'Rent Roll Detail Input'!M155*12,'Rent Roll Detail Input'!M155)</f>
        <v>0</v>
      </c>
      <c r="L151" s="325">
        <f t="shared" si="9"/>
        <v>0</v>
      </c>
    </row>
    <row r="152" spans="2:12" s="45" customFormat="1" ht="11.25" customHeight="1">
      <c r="B152" s="324"/>
      <c r="C152" s="324"/>
      <c r="D152" s="326"/>
      <c r="E152" s="327"/>
      <c r="F152" s="325"/>
      <c r="G152" s="327"/>
      <c r="H152" s="325"/>
      <c r="I152" s="328"/>
      <c r="J152" s="325"/>
      <c r="K152" s="328">
        <f>IF(RentTimePeriod="Annual",'Rent Roll Detail Input'!M156*12,'Rent Roll Detail Input'!M156)</f>
        <v>0</v>
      </c>
      <c r="L152" s="325">
        <f t="shared" si="9"/>
        <v>0</v>
      </c>
    </row>
    <row r="153" spans="2:12" s="45" customFormat="1" ht="11.25" customHeight="1">
      <c r="B153" s="324"/>
      <c r="C153" s="324"/>
      <c r="D153" s="326"/>
      <c r="E153" s="327"/>
      <c r="F153" s="325"/>
      <c r="G153" s="327"/>
      <c r="H153" s="325"/>
      <c r="I153" s="328"/>
      <c r="J153" s="325"/>
      <c r="K153" s="328">
        <f>IF(RentTimePeriod="Annual",'Rent Roll Detail Input'!M157*12,'Rent Roll Detail Input'!M157)</f>
        <v>0</v>
      </c>
      <c r="L153" s="325">
        <f t="shared" si="9"/>
        <v>0</v>
      </c>
    </row>
    <row r="154" spans="2:12" s="45" customFormat="1" ht="11.25" customHeight="1">
      <c r="B154" s="324"/>
      <c r="C154" s="324"/>
      <c r="D154" s="326"/>
      <c r="E154" s="327"/>
      <c r="F154" s="325"/>
      <c r="G154" s="327"/>
      <c r="H154" s="325"/>
      <c r="I154" s="328"/>
      <c r="J154" s="325"/>
      <c r="K154" s="328">
        <f>IF(RentTimePeriod="Annual",'Rent Roll Detail Input'!M158*12,'Rent Roll Detail Input'!M158)</f>
        <v>0</v>
      </c>
      <c r="L154" s="325">
        <f t="shared" si="9"/>
        <v>0</v>
      </c>
    </row>
    <row r="155" spans="2:12" s="45" customFormat="1" ht="11.25" customHeight="1">
      <c r="B155" s="324"/>
      <c r="C155" s="324"/>
      <c r="D155" s="326"/>
      <c r="E155" s="327"/>
      <c r="F155" s="325"/>
      <c r="G155" s="327"/>
      <c r="H155" s="325"/>
      <c r="I155" s="328"/>
      <c r="J155" s="325"/>
      <c r="K155" s="328">
        <f>IF(RentTimePeriod="Annual",'Rent Roll Detail Input'!M159*12,'Rent Roll Detail Input'!M159)</f>
        <v>0</v>
      </c>
      <c r="L155" s="325">
        <f t="shared" si="9"/>
        <v>0</v>
      </c>
    </row>
    <row r="156" spans="2:12" s="45" customFormat="1" ht="11.25" customHeight="1">
      <c r="B156" s="324"/>
      <c r="C156" s="324"/>
      <c r="D156" s="326"/>
      <c r="E156" s="327"/>
      <c r="F156" s="325"/>
      <c r="G156" s="327"/>
      <c r="H156" s="325"/>
      <c r="I156" s="328"/>
      <c r="J156" s="325"/>
      <c r="K156" s="328">
        <f>IF(RentTimePeriod="Annual",'Rent Roll Detail Input'!M160*12,'Rent Roll Detail Input'!M160)</f>
        <v>0</v>
      </c>
      <c r="L156" s="325">
        <f t="shared" si="9"/>
        <v>0</v>
      </c>
    </row>
    <row r="157" spans="2:12" s="45" customFormat="1" ht="11.25" customHeight="1">
      <c r="B157" s="324"/>
      <c r="C157" s="324"/>
      <c r="D157" s="326"/>
      <c r="E157" s="327"/>
      <c r="F157" s="325"/>
      <c r="G157" s="327"/>
      <c r="H157" s="325"/>
      <c r="I157" s="328"/>
      <c r="J157" s="325"/>
      <c r="K157" s="328">
        <f>IF(RentTimePeriod="Annual",'Rent Roll Detail Input'!M161*12,'Rent Roll Detail Input'!M161)</f>
        <v>0</v>
      </c>
      <c r="L157" s="325">
        <f t="shared" si="9"/>
        <v>0</v>
      </c>
    </row>
    <row r="158" spans="2:12" s="45" customFormat="1" ht="11.25" customHeight="1">
      <c r="B158" s="324"/>
      <c r="C158" s="324"/>
      <c r="D158" s="326"/>
      <c r="E158" s="327"/>
      <c r="F158" s="325"/>
      <c r="G158" s="327"/>
      <c r="H158" s="325"/>
      <c r="I158" s="328"/>
      <c r="J158" s="325"/>
      <c r="K158" s="328">
        <f>IF(RentTimePeriod="Annual",'Rent Roll Detail Input'!M162*12,'Rent Roll Detail Input'!M162)</f>
        <v>0</v>
      </c>
      <c r="L158" s="325">
        <f t="shared" si="9"/>
        <v>0</v>
      </c>
    </row>
    <row r="159" spans="2:12" s="45" customFormat="1" ht="11.25" customHeight="1">
      <c r="B159" s="324"/>
      <c r="C159" s="324"/>
      <c r="D159" s="326"/>
      <c r="E159" s="327"/>
      <c r="F159" s="325"/>
      <c r="G159" s="327"/>
      <c r="H159" s="325"/>
      <c r="I159" s="328"/>
      <c r="J159" s="325"/>
      <c r="K159" s="328">
        <f>IF(RentTimePeriod="Annual",'Rent Roll Detail Input'!M163*12,'Rent Roll Detail Input'!M163)</f>
        <v>0</v>
      </c>
      <c r="L159" s="325">
        <f t="shared" si="9"/>
        <v>0</v>
      </c>
    </row>
    <row r="160" spans="2:12" s="45" customFormat="1" ht="11.25" customHeight="1">
      <c r="B160" s="324"/>
      <c r="C160" s="324"/>
      <c r="D160" s="326"/>
      <c r="E160" s="327"/>
      <c r="F160" s="325"/>
      <c r="G160" s="327"/>
      <c r="H160" s="325"/>
      <c r="I160" s="328"/>
      <c r="J160" s="325"/>
      <c r="K160" s="328">
        <f>IF(RentTimePeriod="Annual",'Rent Roll Detail Input'!M164*12,'Rent Roll Detail Input'!M164)</f>
        <v>0</v>
      </c>
      <c r="L160" s="325">
        <f t="shared" si="9"/>
        <v>0</v>
      </c>
    </row>
    <row r="161" spans="2:17" s="45" customFormat="1" ht="11.25" customHeight="1">
      <c r="B161" s="324"/>
      <c r="C161" s="324"/>
      <c r="D161" s="326"/>
      <c r="E161" s="327"/>
      <c r="F161" s="325"/>
      <c r="G161" s="327"/>
      <c r="H161" s="325"/>
      <c r="I161" s="328"/>
      <c r="J161" s="325"/>
      <c r="K161" s="328">
        <f>IF(RentTimePeriod="Annual",'Rent Roll Detail Input'!M165*12,'Rent Roll Detail Input'!M165)</f>
        <v>0</v>
      </c>
      <c r="L161" s="325">
        <f t="shared" si="9"/>
        <v>0</v>
      </c>
    </row>
    <row r="162" spans="2:17" s="45" customFormat="1" ht="11.25" customHeight="1">
      <c r="B162" s="324"/>
      <c r="C162" s="324"/>
      <c r="D162" s="326"/>
      <c r="E162" s="327"/>
      <c r="F162" s="325"/>
      <c r="G162" s="327"/>
      <c r="H162" s="325"/>
      <c r="I162" s="328"/>
      <c r="J162" s="325"/>
      <c r="K162" s="328">
        <f>IF(RentTimePeriod="Annual",'Rent Roll Detail Input'!M166*12,'Rent Roll Detail Input'!M166)</f>
        <v>0</v>
      </c>
      <c r="L162" s="325">
        <f t="shared" si="9"/>
        <v>0</v>
      </c>
    </row>
    <row r="163" spans="2:17" s="45" customFormat="1" ht="11.25" customHeight="1">
      <c r="B163" s="324"/>
      <c r="C163" s="324"/>
      <c r="D163" s="326"/>
      <c r="E163" s="327"/>
      <c r="F163" s="325"/>
      <c r="G163" s="327"/>
      <c r="H163" s="325"/>
      <c r="I163" s="328"/>
      <c r="J163" s="325"/>
      <c r="K163" s="328">
        <f>IF(RentTimePeriod="Annual",'Rent Roll Detail Input'!M167*12,'Rent Roll Detail Input'!M167)</f>
        <v>0</v>
      </c>
      <c r="L163" s="325">
        <f t="shared" si="9"/>
        <v>0</v>
      </c>
    </row>
    <row r="164" spans="2:17" s="45" customFormat="1" ht="11.25" customHeight="1">
      <c r="B164" s="324"/>
      <c r="C164" s="324"/>
      <c r="D164" s="326"/>
      <c r="E164" s="327"/>
      <c r="F164" s="325"/>
      <c r="G164" s="327"/>
      <c r="H164" s="325"/>
      <c r="I164" s="328"/>
      <c r="J164" s="325"/>
      <c r="K164" s="328">
        <f>IF(RentTimePeriod="Annual",'Rent Roll Detail Input'!M168*12,'Rent Roll Detail Input'!M168)</f>
        <v>0</v>
      </c>
      <c r="L164" s="325">
        <f t="shared" si="9"/>
        <v>0</v>
      </c>
    </row>
    <row r="165" spans="2:17" s="45" customFormat="1" ht="11.25" customHeight="1">
      <c r="B165" s="324"/>
      <c r="C165" s="324"/>
      <c r="D165" s="326"/>
      <c r="E165" s="327"/>
      <c r="F165" s="325"/>
      <c r="G165" s="327"/>
      <c r="H165" s="325"/>
      <c r="I165" s="328"/>
      <c r="J165" s="325"/>
      <c r="K165" s="328">
        <f>IF(RentTimePeriod="Annual",'Rent Roll Detail Input'!M169*12,'Rent Roll Detail Input'!M169)</f>
        <v>0</v>
      </c>
      <c r="L165" s="325">
        <f t="shared" si="9"/>
        <v>0</v>
      </c>
    </row>
    <row r="166" spans="2:17" s="130" customFormat="1" ht="11.25" customHeight="1">
      <c r="B166" s="324"/>
      <c r="C166" s="324"/>
      <c r="D166" s="326"/>
      <c r="E166" s="327"/>
      <c r="F166" s="325"/>
      <c r="G166" s="327"/>
      <c r="H166" s="325"/>
      <c r="I166" s="328"/>
      <c r="J166" s="325"/>
      <c r="K166" s="328">
        <f>IF(RentTimePeriod="Annual",'Rent Roll Detail Input'!M170*12,'Rent Roll Detail Input'!M170)</f>
        <v>0</v>
      </c>
      <c r="L166" s="325">
        <f t="shared" si="9"/>
        <v>0</v>
      </c>
      <c r="Q166" s="132"/>
    </row>
    <row r="167" spans="2:17">
      <c r="K167" s="328">
        <f>IF(RentTimePeriod="Annual",'Rent Roll Detail Input'!M171*12,'Rent Roll Detail Input'!M171)</f>
        <v>0</v>
      </c>
      <c r="L167" s="325">
        <f t="shared" si="9"/>
        <v>0</v>
      </c>
    </row>
    <row r="168" spans="2:17">
      <c r="K168" s="328">
        <f>IF(RentTimePeriod="Annual",'Rent Roll Detail Input'!M172*12,'Rent Roll Detail Input'!M172)</f>
        <v>0</v>
      </c>
      <c r="L168" s="325">
        <f t="shared" si="9"/>
        <v>0</v>
      </c>
    </row>
    <row r="169" spans="2:17">
      <c r="K169" s="328">
        <f>IF(RentTimePeriod="Annual",'Rent Roll Detail Input'!M173*12,'Rent Roll Detail Input'!M173)</f>
        <v>0</v>
      </c>
      <c r="L169" s="325">
        <f t="shared" si="9"/>
        <v>0</v>
      </c>
    </row>
    <row r="170" spans="2:17">
      <c r="K170" s="328">
        <f>IF(RentTimePeriod="Annual",'Rent Roll Detail Input'!M174*12,'Rent Roll Detail Input'!M174)</f>
        <v>0</v>
      </c>
      <c r="L170" s="325">
        <f t="shared" si="9"/>
        <v>0</v>
      </c>
    </row>
    <row r="171" spans="2:17">
      <c r="K171" s="328">
        <f>IF(RentTimePeriod="Annual",'Rent Roll Detail Input'!M175*12,'Rent Roll Detail Input'!M175)</f>
        <v>0</v>
      </c>
      <c r="L171" s="325">
        <f t="shared" si="9"/>
        <v>0</v>
      </c>
    </row>
    <row r="172" spans="2:17">
      <c r="K172" s="328">
        <f>IF(RentTimePeriod="Annual",'Rent Roll Detail Input'!M176*12,'Rent Roll Detail Input'!M176)</f>
        <v>0</v>
      </c>
      <c r="L172" s="325">
        <f t="shared" si="9"/>
        <v>0</v>
      </c>
    </row>
    <row r="173" spans="2:17">
      <c r="K173" s="328">
        <f>IF(RentTimePeriod="Annual",'Rent Roll Detail Input'!M177*12,'Rent Roll Detail Input'!M177)</f>
        <v>0</v>
      </c>
      <c r="L173" s="325">
        <f t="shared" si="9"/>
        <v>0</v>
      </c>
    </row>
    <row r="174" spans="2:17">
      <c r="K174" s="328">
        <f>IF(RentTimePeriod="Annual",'Rent Roll Detail Input'!M178*12,'Rent Roll Detail Input'!M178)</f>
        <v>0</v>
      </c>
      <c r="L174" s="325">
        <f t="shared" si="9"/>
        <v>0</v>
      </c>
    </row>
    <row r="175" spans="2:17">
      <c r="K175" s="328">
        <f>IF(RentTimePeriod="Annual",'Rent Roll Detail Input'!M179*12,'Rent Roll Detail Input'!M179)</f>
        <v>0</v>
      </c>
      <c r="L175" s="325">
        <f t="shared" si="9"/>
        <v>0</v>
      </c>
    </row>
    <row r="176" spans="2:17">
      <c r="K176" s="328">
        <f>IF(RentTimePeriod="Annual",'Rent Roll Detail Input'!M180*12,'Rent Roll Detail Input'!M180)</f>
        <v>0</v>
      </c>
      <c r="L176" s="325">
        <f t="shared" si="9"/>
        <v>0</v>
      </c>
    </row>
    <row r="177" spans="11:12">
      <c r="K177" s="328">
        <f>IF(RentTimePeriod="Annual",'Rent Roll Detail Input'!M181*12,'Rent Roll Detail Input'!M181)</f>
        <v>0</v>
      </c>
      <c r="L177" s="325">
        <f t="shared" si="9"/>
        <v>0</v>
      </c>
    </row>
    <row r="178" spans="11:12">
      <c r="K178" s="328">
        <f>IF(RentTimePeriod="Annual",'Rent Roll Detail Input'!M182*12,'Rent Roll Detail Input'!M182)</f>
        <v>0</v>
      </c>
      <c r="L178" s="325">
        <f t="shared" si="9"/>
        <v>0</v>
      </c>
    </row>
    <row r="179" spans="11:12">
      <c r="K179" s="328">
        <f>IF(RentTimePeriod="Annual",'Rent Roll Detail Input'!M183*12,'Rent Roll Detail Input'!M183)</f>
        <v>0</v>
      </c>
      <c r="L179" s="325">
        <f t="shared" si="9"/>
        <v>0</v>
      </c>
    </row>
    <row r="180" spans="11:12">
      <c r="K180" s="328">
        <f>IF(RentTimePeriod="Annual",'Rent Roll Detail Input'!M184*12,'Rent Roll Detail Input'!M184)</f>
        <v>0</v>
      </c>
      <c r="L180" s="325">
        <f t="shared" si="9"/>
        <v>0</v>
      </c>
    </row>
    <row r="181" spans="11:12">
      <c r="K181" s="328">
        <f>IF(RentTimePeriod="Annual",'Rent Roll Detail Input'!M185*12,'Rent Roll Detail Input'!M185)</f>
        <v>0</v>
      </c>
      <c r="L181" s="325">
        <f t="shared" si="9"/>
        <v>0</v>
      </c>
    </row>
    <row r="182" spans="11:12">
      <c r="K182" s="328">
        <f>IF(RentTimePeriod="Annual",'Rent Roll Detail Input'!M186*12,'Rent Roll Detail Input'!M186)</f>
        <v>0</v>
      </c>
      <c r="L182" s="325">
        <f t="shared" si="9"/>
        <v>0</v>
      </c>
    </row>
    <row r="183" spans="11:12">
      <c r="K183" s="328">
        <f>IF(RentTimePeriod="Annual",'Rent Roll Detail Input'!M187*12,'Rent Roll Detail Input'!M187)</f>
        <v>0</v>
      </c>
      <c r="L183" s="325">
        <f t="shared" si="9"/>
        <v>0</v>
      </c>
    </row>
    <row r="184" spans="11:12">
      <c r="K184" s="328">
        <f>IF(RentTimePeriod="Annual",'Rent Roll Detail Input'!M188*12,'Rent Roll Detail Input'!M188)</f>
        <v>0</v>
      </c>
      <c r="L184" s="325">
        <f t="shared" si="9"/>
        <v>0</v>
      </c>
    </row>
    <row r="185" spans="11:12">
      <c r="K185" s="328">
        <f>IF(RentTimePeriod="Annual",'Rent Roll Detail Input'!M189*12,'Rent Roll Detail Input'!M189)</f>
        <v>0</v>
      </c>
      <c r="L185" s="325">
        <f t="shared" si="9"/>
        <v>0</v>
      </c>
    </row>
    <row r="186" spans="11:12">
      <c r="K186" s="328">
        <f>IF(RentTimePeriod="Annual",'Rent Roll Detail Input'!M190*12,'Rent Roll Detail Input'!M190)</f>
        <v>0</v>
      </c>
      <c r="L186" s="325">
        <f t="shared" si="9"/>
        <v>0</v>
      </c>
    </row>
    <row r="187" spans="11:12">
      <c r="K187" s="328">
        <f>IF(RentTimePeriod="Annual",'Rent Roll Detail Input'!M191*12,'Rent Roll Detail Input'!M191)</f>
        <v>0</v>
      </c>
      <c r="L187" s="325">
        <f t="shared" si="9"/>
        <v>0</v>
      </c>
    </row>
    <row r="188" spans="11:12">
      <c r="K188" s="328">
        <f>IF(RentTimePeriod="Annual",'Rent Roll Detail Input'!M192*12,'Rent Roll Detail Input'!M192)</f>
        <v>0</v>
      </c>
      <c r="L188" s="325">
        <f t="shared" si="9"/>
        <v>0</v>
      </c>
    </row>
    <row r="189" spans="11:12">
      <c r="K189" s="328">
        <f>IF(RentTimePeriod="Annual",'Rent Roll Detail Input'!M193*12,'Rent Roll Detail Input'!M193)</f>
        <v>0</v>
      </c>
      <c r="L189" s="325">
        <f t="shared" si="9"/>
        <v>0</v>
      </c>
    </row>
    <row r="190" spans="11:12">
      <c r="K190" s="328">
        <f>IF(RentTimePeriod="Annual",'Rent Roll Detail Input'!M194*12,'Rent Roll Detail Input'!M194)</f>
        <v>0</v>
      </c>
      <c r="L190" s="325">
        <f t="shared" si="9"/>
        <v>0</v>
      </c>
    </row>
    <row r="191" spans="11:12">
      <c r="K191" s="328">
        <f>IF(RentTimePeriod="Annual",'Rent Roll Detail Input'!M195*12,'Rent Roll Detail Input'!M195)</f>
        <v>0</v>
      </c>
      <c r="L191" s="325">
        <f t="shared" si="9"/>
        <v>0</v>
      </c>
    </row>
    <row r="192" spans="11:12">
      <c r="K192" s="328">
        <f>IF(RentTimePeriod="Annual",'Rent Roll Detail Input'!M196*12,'Rent Roll Detail Input'!M196)</f>
        <v>0</v>
      </c>
      <c r="L192" s="325">
        <f t="shared" si="9"/>
        <v>0</v>
      </c>
    </row>
    <row r="193" spans="11:12">
      <c r="K193" s="328">
        <f>IF(RentTimePeriod="Annual",'Rent Roll Detail Input'!M197*12,'Rent Roll Detail Input'!M197)</f>
        <v>0</v>
      </c>
      <c r="L193" s="325">
        <f t="shared" si="9"/>
        <v>0</v>
      </c>
    </row>
    <row r="194" spans="11:12">
      <c r="K194" s="328">
        <f>IF(RentTimePeriod="Annual",'Rent Roll Detail Input'!M198*12,'Rent Roll Detail Input'!M198)</f>
        <v>0</v>
      </c>
      <c r="L194" s="325">
        <f t="shared" si="9"/>
        <v>0</v>
      </c>
    </row>
    <row r="195" spans="11:12">
      <c r="K195" s="328">
        <f>IF(RentTimePeriod="Annual",'Rent Roll Detail Input'!M199*12,'Rent Roll Detail Input'!M199)</f>
        <v>0</v>
      </c>
      <c r="L195" s="325">
        <f t="shared" si="9"/>
        <v>0</v>
      </c>
    </row>
    <row r="196" spans="11:12">
      <c r="K196" s="328">
        <f>IF(RentTimePeriod="Annual",'Rent Roll Detail Input'!M200*12,'Rent Roll Detail Input'!M200)</f>
        <v>0</v>
      </c>
      <c r="L196" s="325">
        <f t="shared" si="9"/>
        <v>0</v>
      </c>
    </row>
    <row r="197" spans="11:12">
      <c r="K197" s="328">
        <f>IF(RentTimePeriod="Annual",'Rent Roll Detail Input'!M201*12,'Rent Roll Detail Input'!M201)</f>
        <v>0</v>
      </c>
      <c r="L197" s="325">
        <f t="shared" si="9"/>
        <v>0</v>
      </c>
    </row>
    <row r="198" spans="11:12">
      <c r="K198" s="328">
        <f>IF(RentTimePeriod="Annual",'Rent Roll Detail Input'!M202*12,'Rent Roll Detail Input'!M202)</f>
        <v>0</v>
      </c>
      <c r="L198" s="325">
        <f t="shared" si="9"/>
        <v>0</v>
      </c>
    </row>
    <row r="199" spans="11:12">
      <c r="K199" s="328">
        <f>IF(RentTimePeriod="Annual",'Rent Roll Detail Input'!M203*12,'Rent Roll Detail Input'!M203)</f>
        <v>0</v>
      </c>
      <c r="L199" s="325">
        <f t="shared" si="9"/>
        <v>0</v>
      </c>
    </row>
    <row r="200" spans="11:12">
      <c r="K200" s="328">
        <f>IF(RentTimePeriod="Annual",'Rent Roll Detail Input'!M204*12,'Rent Roll Detail Input'!M204)</f>
        <v>0</v>
      </c>
      <c r="L200" s="325">
        <f t="shared" ref="L200:L263" si="10">IF(D200="N/A","N/A",IFERROR(K200/D200,0))</f>
        <v>0</v>
      </c>
    </row>
    <row r="201" spans="11:12">
      <c r="K201" s="328">
        <f>IF(RentTimePeriod="Annual",'Rent Roll Detail Input'!M205*12,'Rent Roll Detail Input'!M205)</f>
        <v>0</v>
      </c>
      <c r="L201" s="325">
        <f t="shared" si="10"/>
        <v>0</v>
      </c>
    </row>
    <row r="202" spans="11:12">
      <c r="K202" s="328">
        <f>IF(RentTimePeriod="Annual",'Rent Roll Detail Input'!M206*12,'Rent Roll Detail Input'!M206)</f>
        <v>0</v>
      </c>
      <c r="L202" s="325">
        <f t="shared" si="10"/>
        <v>0</v>
      </c>
    </row>
    <row r="203" spans="11:12">
      <c r="K203" s="328">
        <f>IF(RentTimePeriod="Annual",'Rent Roll Detail Input'!M207*12,'Rent Roll Detail Input'!M207)</f>
        <v>0</v>
      </c>
      <c r="L203" s="325">
        <f t="shared" si="10"/>
        <v>0</v>
      </c>
    </row>
    <row r="204" spans="11:12">
      <c r="K204" s="328">
        <f>IF(RentTimePeriod="Annual",'Rent Roll Detail Input'!M208*12,'Rent Roll Detail Input'!M208)</f>
        <v>0</v>
      </c>
      <c r="L204" s="325">
        <f t="shared" si="10"/>
        <v>0</v>
      </c>
    </row>
    <row r="205" spans="11:12">
      <c r="K205" s="328">
        <f>IF(RentTimePeriod="Annual",'Rent Roll Detail Input'!M209*12,'Rent Roll Detail Input'!M209)</f>
        <v>0</v>
      </c>
      <c r="L205" s="325">
        <f t="shared" si="10"/>
        <v>0</v>
      </c>
    </row>
    <row r="206" spans="11:12">
      <c r="K206" s="328">
        <f>IF(RentTimePeriod="Annual",'Rent Roll Detail Input'!M210*12,'Rent Roll Detail Input'!M210)</f>
        <v>0</v>
      </c>
      <c r="L206" s="325">
        <f t="shared" si="10"/>
        <v>0</v>
      </c>
    </row>
    <row r="207" spans="11:12">
      <c r="K207" s="328">
        <f>IF(RentTimePeriod="Annual",'Rent Roll Detail Input'!M211*12,'Rent Roll Detail Input'!M211)</f>
        <v>0</v>
      </c>
      <c r="L207" s="325">
        <f t="shared" si="10"/>
        <v>0</v>
      </c>
    </row>
    <row r="208" spans="11:12">
      <c r="K208" s="328">
        <f>IF(RentTimePeriod="Annual",'Rent Roll Detail Input'!M212*12,'Rent Roll Detail Input'!M212)</f>
        <v>0</v>
      </c>
      <c r="L208" s="325">
        <f t="shared" si="10"/>
        <v>0</v>
      </c>
    </row>
    <row r="209" spans="11:12">
      <c r="K209" s="328">
        <f>IF(RentTimePeriod="Annual",'Rent Roll Detail Input'!M213*12,'Rent Roll Detail Input'!M213)</f>
        <v>0</v>
      </c>
      <c r="L209" s="325">
        <f t="shared" si="10"/>
        <v>0</v>
      </c>
    </row>
    <row r="210" spans="11:12">
      <c r="K210" s="328">
        <f>IF(RentTimePeriod="Annual",'Rent Roll Detail Input'!M214*12,'Rent Roll Detail Input'!M214)</f>
        <v>0</v>
      </c>
      <c r="L210" s="325">
        <f t="shared" si="10"/>
        <v>0</v>
      </c>
    </row>
    <row r="211" spans="11:12">
      <c r="K211" s="328">
        <f>IF(RentTimePeriod="Annual",'Rent Roll Detail Input'!M215*12,'Rent Roll Detail Input'!M215)</f>
        <v>0</v>
      </c>
      <c r="L211" s="325">
        <f t="shared" si="10"/>
        <v>0</v>
      </c>
    </row>
    <row r="212" spans="11:12">
      <c r="K212" s="328">
        <f>IF(RentTimePeriod="Annual",'Rent Roll Detail Input'!M216*12,'Rent Roll Detail Input'!M216)</f>
        <v>0</v>
      </c>
      <c r="L212" s="325">
        <f t="shared" si="10"/>
        <v>0</v>
      </c>
    </row>
    <row r="213" spans="11:12">
      <c r="K213" s="328">
        <f>IF(RentTimePeriod="Annual",'Rent Roll Detail Input'!M217*12,'Rent Roll Detail Input'!M217)</f>
        <v>0</v>
      </c>
      <c r="L213" s="325">
        <f t="shared" si="10"/>
        <v>0</v>
      </c>
    </row>
    <row r="214" spans="11:12">
      <c r="K214" s="328">
        <f>IF(RentTimePeriod="Annual",'Rent Roll Detail Input'!M218*12,'Rent Roll Detail Input'!M218)</f>
        <v>0</v>
      </c>
      <c r="L214" s="325">
        <f t="shared" si="10"/>
        <v>0</v>
      </c>
    </row>
    <row r="215" spans="11:12">
      <c r="K215" s="328">
        <f>IF(RentTimePeriod="Annual",'Rent Roll Detail Input'!M219*12,'Rent Roll Detail Input'!M219)</f>
        <v>0</v>
      </c>
      <c r="L215" s="325">
        <f t="shared" si="10"/>
        <v>0</v>
      </c>
    </row>
    <row r="216" spans="11:12">
      <c r="K216" s="328">
        <f>IF(RentTimePeriod="Annual",'Rent Roll Detail Input'!M220*12,'Rent Roll Detail Input'!M220)</f>
        <v>0</v>
      </c>
      <c r="L216" s="325">
        <f t="shared" si="10"/>
        <v>0</v>
      </c>
    </row>
    <row r="217" spans="11:12">
      <c r="K217" s="328">
        <f>IF(RentTimePeriod="Annual",'Rent Roll Detail Input'!M221*12,'Rent Roll Detail Input'!M221)</f>
        <v>0</v>
      </c>
      <c r="L217" s="325">
        <f t="shared" si="10"/>
        <v>0</v>
      </c>
    </row>
    <row r="218" spans="11:12">
      <c r="K218" s="328">
        <f>IF(RentTimePeriod="Annual",'Rent Roll Detail Input'!M222*12,'Rent Roll Detail Input'!M222)</f>
        <v>0</v>
      </c>
      <c r="L218" s="325">
        <f t="shared" si="10"/>
        <v>0</v>
      </c>
    </row>
    <row r="219" spans="11:12">
      <c r="K219" s="328">
        <f>IF(RentTimePeriod="Annual",'Rent Roll Detail Input'!M223*12,'Rent Roll Detail Input'!M223)</f>
        <v>0</v>
      </c>
      <c r="L219" s="325">
        <f t="shared" si="10"/>
        <v>0</v>
      </c>
    </row>
    <row r="220" spans="11:12">
      <c r="K220" s="328">
        <f>IF(RentTimePeriod="Annual",'Rent Roll Detail Input'!M224*12,'Rent Roll Detail Input'!M224)</f>
        <v>0</v>
      </c>
      <c r="L220" s="325">
        <f t="shared" si="10"/>
        <v>0</v>
      </c>
    </row>
    <row r="221" spans="11:12">
      <c r="K221" s="328">
        <f>IF(RentTimePeriod="Annual",'Rent Roll Detail Input'!M225*12,'Rent Roll Detail Input'!M225)</f>
        <v>0</v>
      </c>
      <c r="L221" s="325">
        <f t="shared" si="10"/>
        <v>0</v>
      </c>
    </row>
    <row r="222" spans="11:12">
      <c r="K222" s="328">
        <f>IF(RentTimePeriod="Annual",'Rent Roll Detail Input'!M226*12,'Rent Roll Detail Input'!M226)</f>
        <v>0</v>
      </c>
      <c r="L222" s="325">
        <f t="shared" si="10"/>
        <v>0</v>
      </c>
    </row>
    <row r="223" spans="11:12">
      <c r="K223" s="328">
        <f>IF(RentTimePeriod="Annual",'Rent Roll Detail Input'!M227*12,'Rent Roll Detail Input'!M227)</f>
        <v>0</v>
      </c>
      <c r="L223" s="325">
        <f t="shared" si="10"/>
        <v>0</v>
      </c>
    </row>
    <row r="224" spans="11:12">
      <c r="K224" s="328">
        <f>IF(RentTimePeriod="Annual",'Rent Roll Detail Input'!M228*12,'Rent Roll Detail Input'!M228)</f>
        <v>0</v>
      </c>
      <c r="L224" s="325">
        <f t="shared" si="10"/>
        <v>0</v>
      </c>
    </row>
    <row r="225" spans="11:12">
      <c r="K225" s="328">
        <f>IF(RentTimePeriod="Annual",'Rent Roll Detail Input'!M229*12,'Rent Roll Detail Input'!M229)</f>
        <v>0</v>
      </c>
      <c r="L225" s="325">
        <f t="shared" si="10"/>
        <v>0</v>
      </c>
    </row>
    <row r="226" spans="11:12">
      <c r="K226" s="328">
        <f>IF(RentTimePeriod="Annual",'Rent Roll Detail Input'!M230*12,'Rent Roll Detail Input'!M230)</f>
        <v>0</v>
      </c>
      <c r="L226" s="325">
        <f t="shared" si="10"/>
        <v>0</v>
      </c>
    </row>
    <row r="227" spans="11:12">
      <c r="K227" s="328">
        <f>IF(RentTimePeriod="Annual",'Rent Roll Detail Input'!M231*12,'Rent Roll Detail Input'!M231)</f>
        <v>0</v>
      </c>
      <c r="L227" s="325">
        <f t="shared" si="10"/>
        <v>0</v>
      </c>
    </row>
    <row r="228" spans="11:12">
      <c r="K228" s="328">
        <f>IF(RentTimePeriod="Annual",'Rent Roll Detail Input'!M232*12,'Rent Roll Detail Input'!M232)</f>
        <v>0</v>
      </c>
      <c r="L228" s="325">
        <f t="shared" si="10"/>
        <v>0</v>
      </c>
    </row>
    <row r="229" spans="11:12">
      <c r="K229" s="328">
        <f>IF(RentTimePeriod="Annual",'Rent Roll Detail Input'!M233*12,'Rent Roll Detail Input'!M233)</f>
        <v>0</v>
      </c>
      <c r="L229" s="325">
        <f t="shared" si="10"/>
        <v>0</v>
      </c>
    </row>
    <row r="230" spans="11:12">
      <c r="K230" s="328">
        <f>IF(RentTimePeriod="Annual",'Rent Roll Detail Input'!M234*12,'Rent Roll Detail Input'!M234)</f>
        <v>0</v>
      </c>
      <c r="L230" s="325">
        <f t="shared" si="10"/>
        <v>0</v>
      </c>
    </row>
    <row r="231" spans="11:12">
      <c r="K231" s="328">
        <f>IF(RentTimePeriod="Annual",'Rent Roll Detail Input'!M235*12,'Rent Roll Detail Input'!M235)</f>
        <v>0</v>
      </c>
      <c r="L231" s="325">
        <f t="shared" si="10"/>
        <v>0</v>
      </c>
    </row>
    <row r="232" spans="11:12">
      <c r="K232" s="328">
        <f>IF(RentTimePeriod="Annual",'Rent Roll Detail Input'!M236*12,'Rent Roll Detail Input'!M236)</f>
        <v>0</v>
      </c>
      <c r="L232" s="325">
        <f t="shared" si="10"/>
        <v>0</v>
      </c>
    </row>
    <row r="233" spans="11:12">
      <c r="K233" s="328">
        <f>IF(RentTimePeriod="Annual",'Rent Roll Detail Input'!M237*12,'Rent Roll Detail Input'!M237)</f>
        <v>0</v>
      </c>
      <c r="L233" s="325">
        <f t="shared" si="10"/>
        <v>0</v>
      </c>
    </row>
    <row r="234" spans="11:12">
      <c r="K234" s="328">
        <f>IF(RentTimePeriod="Annual",'Rent Roll Detail Input'!M238*12,'Rent Roll Detail Input'!M238)</f>
        <v>0</v>
      </c>
      <c r="L234" s="325">
        <f t="shared" si="10"/>
        <v>0</v>
      </c>
    </row>
    <row r="235" spans="11:12">
      <c r="K235" s="328">
        <f>IF(RentTimePeriod="Annual",'Rent Roll Detail Input'!M239*12,'Rent Roll Detail Input'!M239)</f>
        <v>0</v>
      </c>
      <c r="L235" s="325">
        <f t="shared" si="10"/>
        <v>0</v>
      </c>
    </row>
    <row r="236" spans="11:12">
      <c r="K236" s="328">
        <f>IF(RentTimePeriod="Annual",'Rent Roll Detail Input'!M240*12,'Rent Roll Detail Input'!M240)</f>
        <v>0</v>
      </c>
      <c r="L236" s="325">
        <f t="shared" si="10"/>
        <v>0</v>
      </c>
    </row>
    <row r="237" spans="11:12">
      <c r="K237" s="328">
        <f>IF(RentTimePeriod="Annual",'Rent Roll Detail Input'!M241*12,'Rent Roll Detail Input'!M241)</f>
        <v>0</v>
      </c>
      <c r="L237" s="325">
        <f t="shared" si="10"/>
        <v>0</v>
      </c>
    </row>
    <row r="238" spans="11:12">
      <c r="K238" s="328">
        <f>IF(RentTimePeriod="Annual",'Rent Roll Detail Input'!M242*12,'Rent Roll Detail Input'!M242)</f>
        <v>0</v>
      </c>
      <c r="L238" s="325">
        <f t="shared" si="10"/>
        <v>0</v>
      </c>
    </row>
    <row r="239" spans="11:12">
      <c r="K239" s="328">
        <f>IF(RentTimePeriod="Annual",'Rent Roll Detail Input'!M243*12,'Rent Roll Detail Input'!M243)</f>
        <v>0</v>
      </c>
      <c r="L239" s="325">
        <f t="shared" si="10"/>
        <v>0</v>
      </c>
    </row>
    <row r="240" spans="11:12">
      <c r="K240" s="328">
        <f>IF(RentTimePeriod="Annual",'Rent Roll Detail Input'!M244*12,'Rent Roll Detail Input'!M244)</f>
        <v>0</v>
      </c>
      <c r="L240" s="325">
        <f t="shared" si="10"/>
        <v>0</v>
      </c>
    </row>
    <row r="241" spans="11:12">
      <c r="K241" s="328">
        <f>IF(RentTimePeriod="Annual",'Rent Roll Detail Input'!M245*12,'Rent Roll Detail Input'!M245)</f>
        <v>0</v>
      </c>
      <c r="L241" s="325">
        <f t="shared" si="10"/>
        <v>0</v>
      </c>
    </row>
    <row r="242" spans="11:12">
      <c r="K242" s="328">
        <f>IF(RentTimePeriod="Annual",'Rent Roll Detail Input'!M246*12,'Rent Roll Detail Input'!M246)</f>
        <v>0</v>
      </c>
      <c r="L242" s="325">
        <f t="shared" si="10"/>
        <v>0</v>
      </c>
    </row>
    <row r="243" spans="11:12">
      <c r="K243" s="328">
        <f>IF(RentTimePeriod="Annual",'Rent Roll Detail Input'!M247*12,'Rent Roll Detail Input'!M247)</f>
        <v>0</v>
      </c>
      <c r="L243" s="325">
        <f t="shared" si="10"/>
        <v>0</v>
      </c>
    </row>
    <row r="244" spans="11:12">
      <c r="K244" s="328">
        <f>IF(RentTimePeriod="Annual",'Rent Roll Detail Input'!M248*12,'Rent Roll Detail Input'!M248)</f>
        <v>0</v>
      </c>
      <c r="L244" s="325">
        <f t="shared" si="10"/>
        <v>0</v>
      </c>
    </row>
    <row r="245" spans="11:12">
      <c r="K245" s="328">
        <f>IF(RentTimePeriod="Annual",'Rent Roll Detail Input'!M249*12,'Rent Roll Detail Input'!M249)</f>
        <v>0</v>
      </c>
      <c r="L245" s="325">
        <f t="shared" si="10"/>
        <v>0</v>
      </c>
    </row>
    <row r="246" spans="11:12">
      <c r="K246" s="328">
        <f>IF(RentTimePeriod="Annual",'Rent Roll Detail Input'!M250*12,'Rent Roll Detail Input'!M250)</f>
        <v>0</v>
      </c>
      <c r="L246" s="325">
        <f t="shared" si="10"/>
        <v>0</v>
      </c>
    </row>
    <row r="247" spans="11:12">
      <c r="K247" s="328">
        <f>IF(RentTimePeriod="Annual",'Rent Roll Detail Input'!M251*12,'Rent Roll Detail Input'!M251)</f>
        <v>0</v>
      </c>
      <c r="L247" s="325">
        <f t="shared" si="10"/>
        <v>0</v>
      </c>
    </row>
    <row r="248" spans="11:12">
      <c r="K248" s="328">
        <f>IF(RentTimePeriod="Annual",'Rent Roll Detail Input'!M252*12,'Rent Roll Detail Input'!M252)</f>
        <v>0</v>
      </c>
      <c r="L248" s="325">
        <f t="shared" si="10"/>
        <v>0</v>
      </c>
    </row>
    <row r="249" spans="11:12">
      <c r="K249" s="328">
        <f>IF(RentTimePeriod="Annual",'Rent Roll Detail Input'!M253*12,'Rent Roll Detail Input'!M253)</f>
        <v>0</v>
      </c>
      <c r="L249" s="325">
        <f t="shared" si="10"/>
        <v>0</v>
      </c>
    </row>
    <row r="250" spans="11:12">
      <c r="K250" s="328">
        <f>IF(RentTimePeriod="Annual",'Rent Roll Detail Input'!M254*12,'Rent Roll Detail Input'!M254)</f>
        <v>0</v>
      </c>
      <c r="L250" s="325">
        <f t="shared" si="10"/>
        <v>0</v>
      </c>
    </row>
    <row r="251" spans="11:12">
      <c r="K251" s="328">
        <f>IF(RentTimePeriod="Annual",'Rent Roll Detail Input'!M255*12,'Rent Roll Detail Input'!M255)</f>
        <v>0</v>
      </c>
      <c r="L251" s="325">
        <f t="shared" si="10"/>
        <v>0</v>
      </c>
    </row>
    <row r="252" spans="11:12">
      <c r="K252" s="328">
        <f>IF(RentTimePeriod="Annual",'Rent Roll Detail Input'!M256*12,'Rent Roll Detail Input'!M256)</f>
        <v>0</v>
      </c>
      <c r="L252" s="325">
        <f t="shared" si="10"/>
        <v>0</v>
      </c>
    </row>
    <row r="253" spans="11:12">
      <c r="K253" s="328">
        <f>IF(RentTimePeriod="Annual",'Rent Roll Detail Input'!M257*12,'Rent Roll Detail Input'!M257)</f>
        <v>0</v>
      </c>
      <c r="L253" s="325">
        <f t="shared" si="10"/>
        <v>0</v>
      </c>
    </row>
    <row r="254" spans="11:12">
      <c r="K254" s="328">
        <f>IF(RentTimePeriod="Annual",'Rent Roll Detail Input'!M258*12,'Rent Roll Detail Input'!M258)</f>
        <v>0</v>
      </c>
      <c r="L254" s="325">
        <f t="shared" si="10"/>
        <v>0</v>
      </c>
    </row>
    <row r="255" spans="11:12">
      <c r="K255" s="328">
        <f>IF(RentTimePeriod="Annual",'Rent Roll Detail Input'!M259*12,'Rent Roll Detail Input'!M259)</f>
        <v>0</v>
      </c>
      <c r="L255" s="325">
        <f t="shared" si="10"/>
        <v>0</v>
      </c>
    </row>
    <row r="256" spans="11:12">
      <c r="K256" s="328">
        <f>IF(RentTimePeriod="Annual",'Rent Roll Detail Input'!M260*12,'Rent Roll Detail Input'!M260)</f>
        <v>0</v>
      </c>
      <c r="L256" s="325">
        <f t="shared" si="10"/>
        <v>0</v>
      </c>
    </row>
    <row r="257" spans="11:12">
      <c r="K257" s="328">
        <f>IF(RentTimePeriod="Annual",'Rent Roll Detail Input'!M261*12,'Rent Roll Detail Input'!M261)</f>
        <v>0</v>
      </c>
      <c r="L257" s="325">
        <f t="shared" si="10"/>
        <v>0</v>
      </c>
    </row>
    <row r="258" spans="11:12">
      <c r="K258" s="328">
        <f>IF(RentTimePeriod="Annual",'Rent Roll Detail Input'!M262*12,'Rent Roll Detail Input'!M262)</f>
        <v>0</v>
      </c>
      <c r="L258" s="325">
        <f t="shared" si="10"/>
        <v>0</v>
      </c>
    </row>
    <row r="259" spans="11:12">
      <c r="K259" s="328">
        <f>IF(RentTimePeriod="Annual",'Rent Roll Detail Input'!M263*12,'Rent Roll Detail Input'!M263)</f>
        <v>0</v>
      </c>
      <c r="L259" s="325">
        <f t="shared" si="10"/>
        <v>0</v>
      </c>
    </row>
    <row r="260" spans="11:12">
      <c r="K260" s="328">
        <f>IF(RentTimePeriod="Annual",'Rent Roll Detail Input'!M264*12,'Rent Roll Detail Input'!M264)</f>
        <v>0</v>
      </c>
      <c r="L260" s="325">
        <f t="shared" si="10"/>
        <v>0</v>
      </c>
    </row>
    <row r="261" spans="11:12">
      <c r="K261" s="328">
        <f>IF(RentTimePeriod="Annual",'Rent Roll Detail Input'!M265*12,'Rent Roll Detail Input'!M265)</f>
        <v>0</v>
      </c>
      <c r="L261" s="325">
        <f t="shared" si="10"/>
        <v>0</v>
      </c>
    </row>
    <row r="262" spans="11:12">
      <c r="K262" s="328">
        <f>IF(RentTimePeriod="Annual",'Rent Roll Detail Input'!M266*12,'Rent Roll Detail Input'!M266)</f>
        <v>0</v>
      </c>
      <c r="L262" s="325">
        <f t="shared" si="10"/>
        <v>0</v>
      </c>
    </row>
    <row r="263" spans="11:12">
      <c r="K263" s="328">
        <f>IF(RentTimePeriod="Annual",'Rent Roll Detail Input'!M267*12,'Rent Roll Detail Input'!M267)</f>
        <v>0</v>
      </c>
      <c r="L263" s="325">
        <f t="shared" si="10"/>
        <v>0</v>
      </c>
    </row>
    <row r="264" spans="11:12">
      <c r="K264" s="328">
        <f>IF(RentTimePeriod="Annual",'Rent Roll Detail Input'!M268*12,'Rent Roll Detail Input'!M268)</f>
        <v>0</v>
      </c>
      <c r="L264" s="325">
        <f t="shared" ref="L264:L327" si="11">IF(D264="N/A","N/A",IFERROR(K264/D264,0))</f>
        <v>0</v>
      </c>
    </row>
    <row r="265" spans="11:12">
      <c r="K265" s="328">
        <f>IF(RentTimePeriod="Annual",'Rent Roll Detail Input'!M269*12,'Rent Roll Detail Input'!M269)</f>
        <v>0</v>
      </c>
      <c r="L265" s="325">
        <f t="shared" si="11"/>
        <v>0</v>
      </c>
    </row>
    <row r="266" spans="11:12">
      <c r="K266" s="328">
        <f>IF(RentTimePeriod="Annual",'Rent Roll Detail Input'!M270*12,'Rent Roll Detail Input'!M270)</f>
        <v>0</v>
      </c>
      <c r="L266" s="325">
        <f t="shared" si="11"/>
        <v>0</v>
      </c>
    </row>
    <row r="267" spans="11:12">
      <c r="K267" s="328">
        <f>IF(RentTimePeriod="Annual",'Rent Roll Detail Input'!M271*12,'Rent Roll Detail Input'!M271)</f>
        <v>0</v>
      </c>
      <c r="L267" s="325">
        <f t="shared" si="11"/>
        <v>0</v>
      </c>
    </row>
    <row r="268" spans="11:12">
      <c r="K268" s="328">
        <f>IF(RentTimePeriod="Annual",'Rent Roll Detail Input'!M272*12,'Rent Roll Detail Input'!M272)</f>
        <v>0</v>
      </c>
      <c r="L268" s="325">
        <f t="shared" si="11"/>
        <v>0</v>
      </c>
    </row>
    <row r="269" spans="11:12">
      <c r="K269" s="328">
        <f>IF(RentTimePeriod="Annual",'Rent Roll Detail Input'!M273*12,'Rent Roll Detail Input'!M273)</f>
        <v>0</v>
      </c>
      <c r="L269" s="325">
        <f t="shared" si="11"/>
        <v>0</v>
      </c>
    </row>
    <row r="270" spans="11:12">
      <c r="K270" s="328">
        <f>IF(RentTimePeriod="Annual",'Rent Roll Detail Input'!M274*12,'Rent Roll Detail Input'!M274)</f>
        <v>0</v>
      </c>
      <c r="L270" s="325">
        <f t="shared" si="11"/>
        <v>0</v>
      </c>
    </row>
    <row r="271" spans="11:12">
      <c r="K271" s="328">
        <f>IF(RentTimePeriod="Annual",'Rent Roll Detail Input'!M275*12,'Rent Roll Detail Input'!M275)</f>
        <v>0</v>
      </c>
      <c r="L271" s="325">
        <f t="shared" si="11"/>
        <v>0</v>
      </c>
    </row>
    <row r="272" spans="11:12">
      <c r="K272" s="328">
        <f>IF(RentTimePeriod="Annual",'Rent Roll Detail Input'!M276*12,'Rent Roll Detail Input'!M276)</f>
        <v>0</v>
      </c>
      <c r="L272" s="325">
        <f t="shared" si="11"/>
        <v>0</v>
      </c>
    </row>
    <row r="273" spans="11:12">
      <c r="K273" s="328">
        <f>IF(RentTimePeriod="Annual",'Rent Roll Detail Input'!M277*12,'Rent Roll Detail Input'!M277)</f>
        <v>0</v>
      </c>
      <c r="L273" s="325">
        <f t="shared" si="11"/>
        <v>0</v>
      </c>
    </row>
    <row r="274" spans="11:12">
      <c r="K274" s="328">
        <f>IF(RentTimePeriod="Annual",'Rent Roll Detail Input'!M278*12,'Rent Roll Detail Input'!M278)</f>
        <v>0</v>
      </c>
      <c r="L274" s="325">
        <f t="shared" si="11"/>
        <v>0</v>
      </c>
    </row>
    <row r="275" spans="11:12">
      <c r="K275" s="328">
        <f>IF(RentTimePeriod="Annual",'Rent Roll Detail Input'!M279*12,'Rent Roll Detail Input'!M279)</f>
        <v>0</v>
      </c>
      <c r="L275" s="325">
        <f t="shared" si="11"/>
        <v>0</v>
      </c>
    </row>
    <row r="276" spans="11:12">
      <c r="K276" s="328">
        <f>IF(RentTimePeriod="Annual",'Rent Roll Detail Input'!M280*12,'Rent Roll Detail Input'!M280)</f>
        <v>0</v>
      </c>
      <c r="L276" s="325">
        <f t="shared" si="11"/>
        <v>0</v>
      </c>
    </row>
    <row r="277" spans="11:12">
      <c r="K277" s="328">
        <f>IF(RentTimePeriod="Annual",'Rent Roll Detail Input'!M281*12,'Rent Roll Detail Input'!M281)</f>
        <v>0</v>
      </c>
      <c r="L277" s="325">
        <f t="shared" si="11"/>
        <v>0</v>
      </c>
    </row>
    <row r="278" spans="11:12">
      <c r="K278" s="328">
        <f>IF(RentTimePeriod="Annual",'Rent Roll Detail Input'!M282*12,'Rent Roll Detail Input'!M282)</f>
        <v>0</v>
      </c>
      <c r="L278" s="325">
        <f t="shared" si="11"/>
        <v>0</v>
      </c>
    </row>
    <row r="279" spans="11:12">
      <c r="K279" s="328">
        <f>IF(RentTimePeriod="Annual",'Rent Roll Detail Input'!M283*12,'Rent Roll Detail Input'!M283)</f>
        <v>0</v>
      </c>
      <c r="L279" s="325">
        <f t="shared" si="11"/>
        <v>0</v>
      </c>
    </row>
    <row r="280" spans="11:12">
      <c r="K280" s="328">
        <f>IF(RentTimePeriod="Annual",'Rent Roll Detail Input'!M284*12,'Rent Roll Detail Input'!M284)</f>
        <v>0</v>
      </c>
      <c r="L280" s="325">
        <f t="shared" si="11"/>
        <v>0</v>
      </c>
    </row>
    <row r="281" spans="11:12">
      <c r="K281" s="328">
        <f>IF(RentTimePeriod="Annual",'Rent Roll Detail Input'!M285*12,'Rent Roll Detail Input'!M285)</f>
        <v>0</v>
      </c>
      <c r="L281" s="325">
        <f t="shared" si="11"/>
        <v>0</v>
      </c>
    </row>
    <row r="282" spans="11:12">
      <c r="K282" s="328">
        <f>IF(RentTimePeriod="Annual",'Rent Roll Detail Input'!M286*12,'Rent Roll Detail Input'!M286)</f>
        <v>0</v>
      </c>
      <c r="L282" s="325">
        <f t="shared" si="11"/>
        <v>0</v>
      </c>
    </row>
    <row r="283" spans="11:12">
      <c r="K283" s="328">
        <f>IF(RentTimePeriod="Annual",'Rent Roll Detail Input'!M287*12,'Rent Roll Detail Input'!M287)</f>
        <v>0</v>
      </c>
      <c r="L283" s="325">
        <f t="shared" si="11"/>
        <v>0</v>
      </c>
    </row>
    <row r="284" spans="11:12">
      <c r="K284" s="328">
        <f>IF(RentTimePeriod="Annual",'Rent Roll Detail Input'!M288*12,'Rent Roll Detail Input'!M288)</f>
        <v>0</v>
      </c>
      <c r="L284" s="325">
        <f t="shared" si="11"/>
        <v>0</v>
      </c>
    </row>
    <row r="285" spans="11:12">
      <c r="K285" s="328">
        <f>IF(RentTimePeriod="Annual",'Rent Roll Detail Input'!M289*12,'Rent Roll Detail Input'!M289)</f>
        <v>0</v>
      </c>
      <c r="L285" s="325">
        <f t="shared" si="11"/>
        <v>0</v>
      </c>
    </row>
    <row r="286" spans="11:12">
      <c r="K286" s="328">
        <f>IF(RentTimePeriod="Annual",'Rent Roll Detail Input'!M290*12,'Rent Roll Detail Input'!M290)</f>
        <v>0</v>
      </c>
      <c r="L286" s="325">
        <f t="shared" si="11"/>
        <v>0</v>
      </c>
    </row>
    <row r="287" spans="11:12">
      <c r="K287" s="328">
        <f>IF(RentTimePeriod="Annual",'Rent Roll Detail Input'!M291*12,'Rent Roll Detail Input'!M291)</f>
        <v>0</v>
      </c>
      <c r="L287" s="325">
        <f t="shared" si="11"/>
        <v>0</v>
      </c>
    </row>
    <row r="288" spans="11:12">
      <c r="K288" s="328">
        <f>IF(RentTimePeriod="Annual",'Rent Roll Detail Input'!M292*12,'Rent Roll Detail Input'!M292)</f>
        <v>0</v>
      </c>
      <c r="L288" s="325">
        <f t="shared" si="11"/>
        <v>0</v>
      </c>
    </row>
    <row r="289" spans="11:12">
      <c r="K289" s="328">
        <f>IF(RentTimePeriod="Annual",'Rent Roll Detail Input'!M293*12,'Rent Roll Detail Input'!M293)</f>
        <v>0</v>
      </c>
      <c r="L289" s="325">
        <f t="shared" si="11"/>
        <v>0</v>
      </c>
    </row>
    <row r="290" spans="11:12">
      <c r="K290" s="328">
        <f>IF(RentTimePeriod="Annual",'Rent Roll Detail Input'!M294*12,'Rent Roll Detail Input'!M294)</f>
        <v>0</v>
      </c>
      <c r="L290" s="325">
        <f t="shared" si="11"/>
        <v>0</v>
      </c>
    </row>
    <row r="291" spans="11:12">
      <c r="K291" s="328">
        <f>IF(RentTimePeriod="Annual",'Rent Roll Detail Input'!M295*12,'Rent Roll Detail Input'!M295)</f>
        <v>0</v>
      </c>
      <c r="L291" s="325">
        <f t="shared" si="11"/>
        <v>0</v>
      </c>
    </row>
    <row r="292" spans="11:12">
      <c r="K292" s="328">
        <f>IF(RentTimePeriod="Annual",'Rent Roll Detail Input'!M296*12,'Rent Roll Detail Input'!M296)</f>
        <v>0</v>
      </c>
      <c r="L292" s="325">
        <f t="shared" si="11"/>
        <v>0</v>
      </c>
    </row>
    <row r="293" spans="11:12">
      <c r="K293" s="328">
        <f>IF(RentTimePeriod="Annual",'Rent Roll Detail Input'!M297*12,'Rent Roll Detail Input'!M297)</f>
        <v>0</v>
      </c>
      <c r="L293" s="325">
        <f t="shared" si="11"/>
        <v>0</v>
      </c>
    </row>
    <row r="294" spans="11:12">
      <c r="K294" s="328">
        <f>IF(RentTimePeriod="Annual",'Rent Roll Detail Input'!M298*12,'Rent Roll Detail Input'!M298)</f>
        <v>0</v>
      </c>
      <c r="L294" s="325">
        <f t="shared" si="11"/>
        <v>0</v>
      </c>
    </row>
    <row r="295" spans="11:12">
      <c r="K295" s="328">
        <f>IF(RentTimePeriod="Annual",'Rent Roll Detail Input'!M299*12,'Rent Roll Detail Input'!M299)</f>
        <v>0</v>
      </c>
      <c r="L295" s="325">
        <f t="shared" si="11"/>
        <v>0</v>
      </c>
    </row>
    <row r="296" spans="11:12">
      <c r="K296" s="328">
        <f>IF(RentTimePeriod="Annual",'Rent Roll Detail Input'!M300*12,'Rent Roll Detail Input'!M300)</f>
        <v>0</v>
      </c>
      <c r="L296" s="325">
        <f t="shared" si="11"/>
        <v>0</v>
      </c>
    </row>
    <row r="297" spans="11:12">
      <c r="K297" s="328">
        <f>IF(RentTimePeriod="Annual",'Rent Roll Detail Input'!M301*12,'Rent Roll Detail Input'!M301)</f>
        <v>0</v>
      </c>
      <c r="L297" s="325">
        <f t="shared" si="11"/>
        <v>0</v>
      </c>
    </row>
    <row r="298" spans="11:12">
      <c r="K298" s="328">
        <f>IF(RentTimePeriod="Annual",'Rent Roll Detail Input'!M302*12,'Rent Roll Detail Input'!M302)</f>
        <v>0</v>
      </c>
      <c r="L298" s="325">
        <f t="shared" si="11"/>
        <v>0</v>
      </c>
    </row>
    <row r="299" spans="11:12">
      <c r="K299" s="328">
        <f>IF(RentTimePeriod="Annual",'Rent Roll Detail Input'!M303*12,'Rent Roll Detail Input'!M303)</f>
        <v>0</v>
      </c>
      <c r="L299" s="325">
        <f t="shared" si="11"/>
        <v>0</v>
      </c>
    </row>
    <row r="300" spans="11:12">
      <c r="K300" s="328">
        <f>IF(RentTimePeriod="Annual",'Rent Roll Detail Input'!M304*12,'Rent Roll Detail Input'!M304)</f>
        <v>0</v>
      </c>
      <c r="L300" s="325">
        <f t="shared" si="11"/>
        <v>0</v>
      </c>
    </row>
    <row r="301" spans="11:12">
      <c r="K301" s="328">
        <f>IF(RentTimePeriod="Annual",'Rent Roll Detail Input'!M305*12,'Rent Roll Detail Input'!M305)</f>
        <v>0</v>
      </c>
      <c r="L301" s="325">
        <f t="shared" si="11"/>
        <v>0</v>
      </c>
    </row>
    <row r="302" spans="11:12">
      <c r="K302" s="328">
        <f>IF(RentTimePeriod="Annual",'Rent Roll Detail Input'!M306*12,'Rent Roll Detail Input'!M306)</f>
        <v>0</v>
      </c>
      <c r="L302" s="325">
        <f t="shared" si="11"/>
        <v>0</v>
      </c>
    </row>
    <row r="303" spans="11:12">
      <c r="K303" s="328">
        <f>IF(RentTimePeriod="Annual",'Rent Roll Detail Input'!M307*12,'Rent Roll Detail Input'!M307)</f>
        <v>0</v>
      </c>
      <c r="L303" s="325">
        <f t="shared" si="11"/>
        <v>0</v>
      </c>
    </row>
    <row r="304" spans="11:12">
      <c r="K304" s="328">
        <f>IF(RentTimePeriod="Annual",'Rent Roll Detail Input'!M308*12,'Rent Roll Detail Input'!M308)</f>
        <v>0</v>
      </c>
      <c r="L304" s="325">
        <f t="shared" si="11"/>
        <v>0</v>
      </c>
    </row>
    <row r="305" spans="11:12">
      <c r="K305" s="328">
        <f>IF(RentTimePeriod="Annual",'Rent Roll Detail Input'!M309*12,'Rent Roll Detail Input'!M309)</f>
        <v>0</v>
      </c>
      <c r="L305" s="325">
        <f t="shared" si="11"/>
        <v>0</v>
      </c>
    </row>
    <row r="306" spans="11:12">
      <c r="K306" s="328">
        <f>IF(RentTimePeriod="Annual",'Rent Roll Detail Input'!M310*12,'Rent Roll Detail Input'!M310)</f>
        <v>0</v>
      </c>
      <c r="L306" s="325">
        <f t="shared" si="11"/>
        <v>0</v>
      </c>
    </row>
    <row r="307" spans="11:12">
      <c r="K307" s="328">
        <f>IF(RentTimePeriod="Annual",'Rent Roll Detail Input'!M311*12,'Rent Roll Detail Input'!M311)</f>
        <v>0</v>
      </c>
      <c r="L307" s="325">
        <f t="shared" si="11"/>
        <v>0</v>
      </c>
    </row>
    <row r="308" spans="11:12">
      <c r="K308" s="328">
        <f>IF(RentTimePeriod="Annual",'Rent Roll Detail Input'!M312*12,'Rent Roll Detail Input'!M312)</f>
        <v>0</v>
      </c>
      <c r="L308" s="325">
        <f t="shared" si="11"/>
        <v>0</v>
      </c>
    </row>
    <row r="309" spans="11:12">
      <c r="K309" s="328">
        <f>IF(RentTimePeriod="Annual",'Rent Roll Detail Input'!M313*12,'Rent Roll Detail Input'!M313)</f>
        <v>0</v>
      </c>
      <c r="L309" s="325">
        <f t="shared" si="11"/>
        <v>0</v>
      </c>
    </row>
    <row r="310" spans="11:12">
      <c r="K310" s="328">
        <f>IF(RentTimePeriod="Annual",'Rent Roll Detail Input'!M314*12,'Rent Roll Detail Input'!M314)</f>
        <v>0</v>
      </c>
      <c r="L310" s="325">
        <f t="shared" si="11"/>
        <v>0</v>
      </c>
    </row>
    <row r="311" spans="11:12">
      <c r="K311" s="328">
        <f>IF(RentTimePeriod="Annual",'Rent Roll Detail Input'!M315*12,'Rent Roll Detail Input'!M315)</f>
        <v>0</v>
      </c>
      <c r="L311" s="325">
        <f t="shared" si="11"/>
        <v>0</v>
      </c>
    </row>
    <row r="312" spans="11:12">
      <c r="K312" s="328">
        <f>IF(RentTimePeriod="Annual",'Rent Roll Detail Input'!M316*12,'Rent Roll Detail Input'!M316)</f>
        <v>0</v>
      </c>
      <c r="L312" s="325">
        <f t="shared" si="11"/>
        <v>0</v>
      </c>
    </row>
    <row r="313" spans="11:12">
      <c r="K313" s="328">
        <f>IF(RentTimePeriod="Annual",'Rent Roll Detail Input'!M317*12,'Rent Roll Detail Input'!M317)</f>
        <v>0</v>
      </c>
      <c r="L313" s="325">
        <f t="shared" si="11"/>
        <v>0</v>
      </c>
    </row>
    <row r="314" spans="11:12">
      <c r="K314" s="328">
        <f>IF(RentTimePeriod="Annual",'Rent Roll Detail Input'!M318*12,'Rent Roll Detail Input'!M318)</f>
        <v>0</v>
      </c>
      <c r="L314" s="325">
        <f t="shared" si="11"/>
        <v>0</v>
      </c>
    </row>
    <row r="315" spans="11:12">
      <c r="K315" s="328">
        <f>IF(RentTimePeriod="Annual",'Rent Roll Detail Input'!M319*12,'Rent Roll Detail Input'!M319)</f>
        <v>0</v>
      </c>
      <c r="L315" s="325">
        <f t="shared" si="11"/>
        <v>0</v>
      </c>
    </row>
    <row r="316" spans="11:12">
      <c r="K316" s="328">
        <f>IF(RentTimePeriod="Annual",'Rent Roll Detail Input'!M320*12,'Rent Roll Detail Input'!M320)</f>
        <v>0</v>
      </c>
      <c r="L316" s="325">
        <f t="shared" si="11"/>
        <v>0</v>
      </c>
    </row>
    <row r="317" spans="11:12">
      <c r="K317" s="328">
        <f>IF(RentTimePeriod="Annual",'Rent Roll Detail Input'!M321*12,'Rent Roll Detail Input'!M321)</f>
        <v>0</v>
      </c>
      <c r="L317" s="325">
        <f t="shared" si="11"/>
        <v>0</v>
      </c>
    </row>
    <row r="318" spans="11:12">
      <c r="K318" s="328">
        <f>IF(RentTimePeriod="Annual",'Rent Roll Detail Input'!M322*12,'Rent Roll Detail Input'!M322)</f>
        <v>0</v>
      </c>
      <c r="L318" s="325">
        <f t="shared" si="11"/>
        <v>0</v>
      </c>
    </row>
    <row r="319" spans="11:12">
      <c r="K319" s="328">
        <f>IF(RentTimePeriod="Annual",'Rent Roll Detail Input'!M323*12,'Rent Roll Detail Input'!M323)</f>
        <v>0</v>
      </c>
      <c r="L319" s="325">
        <f t="shared" si="11"/>
        <v>0</v>
      </c>
    </row>
    <row r="320" spans="11:12">
      <c r="K320" s="328">
        <f>IF(RentTimePeriod="Annual",'Rent Roll Detail Input'!M324*12,'Rent Roll Detail Input'!M324)</f>
        <v>0</v>
      </c>
      <c r="L320" s="325">
        <f t="shared" si="11"/>
        <v>0</v>
      </c>
    </row>
    <row r="321" spans="11:12">
      <c r="K321" s="328">
        <f>IF(RentTimePeriod="Annual",'Rent Roll Detail Input'!M325*12,'Rent Roll Detail Input'!M325)</f>
        <v>0</v>
      </c>
      <c r="L321" s="325">
        <f t="shared" si="11"/>
        <v>0</v>
      </c>
    </row>
    <row r="322" spans="11:12">
      <c r="K322" s="328">
        <f>IF(RentTimePeriod="Annual",'Rent Roll Detail Input'!M326*12,'Rent Roll Detail Input'!M326)</f>
        <v>0</v>
      </c>
      <c r="L322" s="325">
        <f t="shared" si="11"/>
        <v>0</v>
      </c>
    </row>
    <row r="323" spans="11:12">
      <c r="K323" s="328">
        <f>IF(RentTimePeriod="Annual",'Rent Roll Detail Input'!M327*12,'Rent Roll Detail Input'!M327)</f>
        <v>0</v>
      </c>
      <c r="L323" s="325">
        <f t="shared" si="11"/>
        <v>0</v>
      </c>
    </row>
    <row r="324" spans="11:12">
      <c r="K324" s="328">
        <f>IF(RentTimePeriod="Annual",'Rent Roll Detail Input'!M328*12,'Rent Roll Detail Input'!M328)</f>
        <v>0</v>
      </c>
      <c r="L324" s="325">
        <f t="shared" si="11"/>
        <v>0</v>
      </c>
    </row>
    <row r="325" spans="11:12">
      <c r="K325" s="328">
        <f>IF(RentTimePeriod="Annual",'Rent Roll Detail Input'!M329*12,'Rent Roll Detail Input'!M329)</f>
        <v>0</v>
      </c>
      <c r="L325" s="325">
        <f t="shared" si="11"/>
        <v>0</v>
      </c>
    </row>
    <row r="326" spans="11:12">
      <c r="K326" s="328">
        <f>IF(RentTimePeriod="Annual",'Rent Roll Detail Input'!M330*12,'Rent Roll Detail Input'!M330)</f>
        <v>0</v>
      </c>
      <c r="L326" s="325">
        <f t="shared" si="11"/>
        <v>0</v>
      </c>
    </row>
    <row r="327" spans="11:12">
      <c r="K327" s="328">
        <f>IF(RentTimePeriod="Annual",'Rent Roll Detail Input'!M331*12,'Rent Roll Detail Input'!M331)</f>
        <v>0</v>
      </c>
      <c r="L327" s="325">
        <f t="shared" si="11"/>
        <v>0</v>
      </c>
    </row>
    <row r="328" spans="11:12">
      <c r="K328" s="328">
        <f>IF(RentTimePeriod="Annual",'Rent Roll Detail Input'!M332*12,'Rent Roll Detail Input'!M332)</f>
        <v>0</v>
      </c>
      <c r="L328" s="325">
        <f t="shared" ref="L328:L391" si="12">IF(D328="N/A","N/A",IFERROR(K328/D328,0))</f>
        <v>0</v>
      </c>
    </row>
    <row r="329" spans="11:12">
      <c r="K329" s="328">
        <f>IF(RentTimePeriod="Annual",'Rent Roll Detail Input'!M333*12,'Rent Roll Detail Input'!M333)</f>
        <v>0</v>
      </c>
      <c r="L329" s="325">
        <f t="shared" si="12"/>
        <v>0</v>
      </c>
    </row>
    <row r="330" spans="11:12">
      <c r="K330" s="328">
        <f>IF(RentTimePeriod="Annual",'Rent Roll Detail Input'!M334*12,'Rent Roll Detail Input'!M334)</f>
        <v>0</v>
      </c>
      <c r="L330" s="325">
        <f t="shared" si="12"/>
        <v>0</v>
      </c>
    </row>
    <row r="331" spans="11:12">
      <c r="K331" s="328">
        <f>IF(RentTimePeriod="Annual",'Rent Roll Detail Input'!M335*12,'Rent Roll Detail Input'!M335)</f>
        <v>0</v>
      </c>
      <c r="L331" s="325">
        <f t="shared" si="12"/>
        <v>0</v>
      </c>
    </row>
    <row r="332" spans="11:12">
      <c r="K332" s="328">
        <f>IF(RentTimePeriod="Annual",'Rent Roll Detail Input'!M336*12,'Rent Roll Detail Input'!M336)</f>
        <v>0</v>
      </c>
      <c r="L332" s="325">
        <f t="shared" si="12"/>
        <v>0</v>
      </c>
    </row>
    <row r="333" spans="11:12">
      <c r="K333" s="328">
        <f>IF(RentTimePeriod="Annual",'Rent Roll Detail Input'!M337*12,'Rent Roll Detail Input'!M337)</f>
        <v>0</v>
      </c>
      <c r="L333" s="325">
        <f t="shared" si="12"/>
        <v>0</v>
      </c>
    </row>
    <row r="334" spans="11:12">
      <c r="K334" s="328">
        <f>IF(RentTimePeriod="Annual",'Rent Roll Detail Input'!M338*12,'Rent Roll Detail Input'!M338)</f>
        <v>0</v>
      </c>
      <c r="L334" s="325">
        <f t="shared" si="12"/>
        <v>0</v>
      </c>
    </row>
    <row r="335" spans="11:12">
      <c r="K335" s="328">
        <f>IF(RentTimePeriod="Annual",'Rent Roll Detail Input'!M339*12,'Rent Roll Detail Input'!M339)</f>
        <v>0</v>
      </c>
      <c r="L335" s="325">
        <f t="shared" si="12"/>
        <v>0</v>
      </c>
    </row>
    <row r="336" spans="11:12">
      <c r="K336" s="328">
        <f>IF(RentTimePeriod="Annual",'Rent Roll Detail Input'!M340*12,'Rent Roll Detail Input'!M340)</f>
        <v>0</v>
      </c>
      <c r="L336" s="325">
        <f t="shared" si="12"/>
        <v>0</v>
      </c>
    </row>
    <row r="337" spans="11:12">
      <c r="K337" s="328">
        <f>IF(RentTimePeriod="Annual",'Rent Roll Detail Input'!M341*12,'Rent Roll Detail Input'!M341)</f>
        <v>0</v>
      </c>
      <c r="L337" s="325">
        <f t="shared" si="12"/>
        <v>0</v>
      </c>
    </row>
    <row r="338" spans="11:12">
      <c r="K338" s="328">
        <f>IF(RentTimePeriod="Annual",'Rent Roll Detail Input'!M342*12,'Rent Roll Detail Input'!M342)</f>
        <v>0</v>
      </c>
      <c r="L338" s="325">
        <f t="shared" si="12"/>
        <v>0</v>
      </c>
    </row>
    <row r="339" spans="11:12">
      <c r="K339" s="328">
        <f>IF(RentTimePeriod="Annual",'Rent Roll Detail Input'!M343*12,'Rent Roll Detail Input'!M343)</f>
        <v>0</v>
      </c>
      <c r="L339" s="325">
        <f t="shared" si="12"/>
        <v>0</v>
      </c>
    </row>
    <row r="340" spans="11:12">
      <c r="K340" s="328">
        <f>IF(RentTimePeriod="Annual",'Rent Roll Detail Input'!M344*12,'Rent Roll Detail Input'!M344)</f>
        <v>0</v>
      </c>
      <c r="L340" s="325">
        <f t="shared" si="12"/>
        <v>0</v>
      </c>
    </row>
    <row r="341" spans="11:12">
      <c r="K341" s="328">
        <f>IF(RentTimePeriod="Annual",'Rent Roll Detail Input'!M345*12,'Rent Roll Detail Input'!M345)</f>
        <v>0</v>
      </c>
      <c r="L341" s="325">
        <f t="shared" si="12"/>
        <v>0</v>
      </c>
    </row>
    <row r="342" spans="11:12">
      <c r="K342" s="328">
        <f>IF(RentTimePeriod="Annual",'Rent Roll Detail Input'!M346*12,'Rent Roll Detail Input'!M346)</f>
        <v>0</v>
      </c>
      <c r="L342" s="325">
        <f t="shared" si="12"/>
        <v>0</v>
      </c>
    </row>
    <row r="343" spans="11:12">
      <c r="K343" s="328">
        <f>IF(RentTimePeriod="Annual",'Rent Roll Detail Input'!M347*12,'Rent Roll Detail Input'!M347)</f>
        <v>0</v>
      </c>
      <c r="L343" s="325">
        <f t="shared" si="12"/>
        <v>0</v>
      </c>
    </row>
    <row r="344" spans="11:12">
      <c r="K344" s="328">
        <f>IF(RentTimePeriod="Annual",'Rent Roll Detail Input'!M348*12,'Rent Roll Detail Input'!M348)</f>
        <v>0</v>
      </c>
      <c r="L344" s="325">
        <f t="shared" si="12"/>
        <v>0</v>
      </c>
    </row>
    <row r="345" spans="11:12">
      <c r="K345" s="328">
        <f>IF(RentTimePeriod="Annual",'Rent Roll Detail Input'!M349*12,'Rent Roll Detail Input'!M349)</f>
        <v>0</v>
      </c>
      <c r="L345" s="325">
        <f t="shared" si="12"/>
        <v>0</v>
      </c>
    </row>
    <row r="346" spans="11:12">
      <c r="K346" s="328">
        <f>IF(RentTimePeriod="Annual",'Rent Roll Detail Input'!M350*12,'Rent Roll Detail Input'!M350)</f>
        <v>0</v>
      </c>
      <c r="L346" s="325">
        <f t="shared" si="12"/>
        <v>0</v>
      </c>
    </row>
    <row r="347" spans="11:12">
      <c r="K347" s="328">
        <f>IF(RentTimePeriod="Annual",'Rent Roll Detail Input'!M351*12,'Rent Roll Detail Input'!M351)</f>
        <v>0</v>
      </c>
      <c r="L347" s="325">
        <f t="shared" si="12"/>
        <v>0</v>
      </c>
    </row>
    <row r="348" spans="11:12">
      <c r="K348" s="328">
        <f>IF(RentTimePeriod="Annual",'Rent Roll Detail Input'!M352*12,'Rent Roll Detail Input'!M352)</f>
        <v>0</v>
      </c>
      <c r="L348" s="325">
        <f t="shared" si="12"/>
        <v>0</v>
      </c>
    </row>
    <row r="349" spans="11:12">
      <c r="K349" s="328">
        <f>IF(RentTimePeriod="Annual",'Rent Roll Detail Input'!M353*12,'Rent Roll Detail Input'!M353)</f>
        <v>0</v>
      </c>
      <c r="L349" s="325">
        <f t="shared" si="12"/>
        <v>0</v>
      </c>
    </row>
    <row r="350" spans="11:12">
      <c r="K350" s="328">
        <f>IF(RentTimePeriod="Annual",'Rent Roll Detail Input'!M354*12,'Rent Roll Detail Input'!M354)</f>
        <v>0</v>
      </c>
      <c r="L350" s="325">
        <f t="shared" si="12"/>
        <v>0</v>
      </c>
    </row>
    <row r="351" spans="11:12">
      <c r="K351" s="328">
        <f>IF(RentTimePeriod="Annual",'Rent Roll Detail Input'!M355*12,'Rent Roll Detail Input'!M355)</f>
        <v>0</v>
      </c>
      <c r="L351" s="325">
        <f t="shared" si="12"/>
        <v>0</v>
      </c>
    </row>
    <row r="352" spans="11:12">
      <c r="K352" s="328">
        <f>IF(RentTimePeriod="Annual",'Rent Roll Detail Input'!M356*12,'Rent Roll Detail Input'!M356)</f>
        <v>0</v>
      </c>
      <c r="L352" s="325">
        <f t="shared" si="12"/>
        <v>0</v>
      </c>
    </row>
    <row r="353" spans="11:12">
      <c r="K353" s="328">
        <f>IF(RentTimePeriod="Annual",'Rent Roll Detail Input'!M357*12,'Rent Roll Detail Input'!M357)</f>
        <v>0</v>
      </c>
      <c r="L353" s="325">
        <f t="shared" si="12"/>
        <v>0</v>
      </c>
    </row>
    <row r="354" spans="11:12">
      <c r="K354" s="328">
        <f>IF(RentTimePeriod="Annual",'Rent Roll Detail Input'!M358*12,'Rent Roll Detail Input'!M358)</f>
        <v>0</v>
      </c>
      <c r="L354" s="325">
        <f t="shared" si="12"/>
        <v>0</v>
      </c>
    </row>
    <row r="355" spans="11:12">
      <c r="K355" s="328">
        <f>IF(RentTimePeriod="Annual",'Rent Roll Detail Input'!M359*12,'Rent Roll Detail Input'!M359)</f>
        <v>0</v>
      </c>
      <c r="L355" s="325">
        <f t="shared" si="12"/>
        <v>0</v>
      </c>
    </row>
    <row r="356" spans="11:12">
      <c r="K356" s="328">
        <f>IF(RentTimePeriod="Annual",'Rent Roll Detail Input'!M360*12,'Rent Roll Detail Input'!M360)</f>
        <v>0</v>
      </c>
      <c r="L356" s="325">
        <f t="shared" si="12"/>
        <v>0</v>
      </c>
    </row>
    <row r="357" spans="11:12">
      <c r="K357" s="328">
        <f>IF(RentTimePeriod="Annual",'Rent Roll Detail Input'!M361*12,'Rent Roll Detail Input'!M361)</f>
        <v>0</v>
      </c>
      <c r="L357" s="325">
        <f t="shared" si="12"/>
        <v>0</v>
      </c>
    </row>
    <row r="358" spans="11:12">
      <c r="K358" s="328">
        <f>IF(RentTimePeriod="Annual",'Rent Roll Detail Input'!M362*12,'Rent Roll Detail Input'!M362)</f>
        <v>0</v>
      </c>
      <c r="L358" s="325">
        <f t="shared" si="12"/>
        <v>0</v>
      </c>
    </row>
    <row r="359" spans="11:12">
      <c r="K359" s="328">
        <f>IF(RentTimePeriod="Annual",'Rent Roll Detail Input'!M363*12,'Rent Roll Detail Input'!M363)</f>
        <v>0</v>
      </c>
      <c r="L359" s="325">
        <f t="shared" si="12"/>
        <v>0</v>
      </c>
    </row>
    <row r="360" spans="11:12">
      <c r="K360" s="328">
        <f>IF(RentTimePeriod="Annual",'Rent Roll Detail Input'!M364*12,'Rent Roll Detail Input'!M364)</f>
        <v>0</v>
      </c>
      <c r="L360" s="325">
        <f t="shared" si="12"/>
        <v>0</v>
      </c>
    </row>
    <row r="361" spans="11:12">
      <c r="K361" s="328">
        <f>IF(RentTimePeriod="Annual",'Rent Roll Detail Input'!M365*12,'Rent Roll Detail Input'!M365)</f>
        <v>0</v>
      </c>
      <c r="L361" s="325">
        <f t="shared" si="12"/>
        <v>0</v>
      </c>
    </row>
    <row r="362" spans="11:12">
      <c r="K362" s="328">
        <f>IF(RentTimePeriod="Annual",'Rent Roll Detail Input'!M366*12,'Rent Roll Detail Input'!M366)</f>
        <v>0</v>
      </c>
      <c r="L362" s="325">
        <f t="shared" si="12"/>
        <v>0</v>
      </c>
    </row>
    <row r="363" spans="11:12">
      <c r="K363" s="328">
        <f>IF(RentTimePeriod="Annual",'Rent Roll Detail Input'!M367*12,'Rent Roll Detail Input'!M367)</f>
        <v>0</v>
      </c>
      <c r="L363" s="325">
        <f t="shared" si="12"/>
        <v>0</v>
      </c>
    </row>
    <row r="364" spans="11:12">
      <c r="K364" s="328">
        <f>IF(RentTimePeriod="Annual",'Rent Roll Detail Input'!M368*12,'Rent Roll Detail Input'!M368)</f>
        <v>0</v>
      </c>
      <c r="L364" s="325">
        <f t="shared" si="12"/>
        <v>0</v>
      </c>
    </row>
    <row r="365" spans="11:12">
      <c r="K365" s="328">
        <f>IF(RentTimePeriod="Annual",'Rent Roll Detail Input'!M369*12,'Rent Roll Detail Input'!M369)</f>
        <v>0</v>
      </c>
      <c r="L365" s="325">
        <f t="shared" si="12"/>
        <v>0</v>
      </c>
    </row>
    <row r="366" spans="11:12">
      <c r="K366" s="328">
        <f>IF(RentTimePeriod="Annual",'Rent Roll Detail Input'!M370*12,'Rent Roll Detail Input'!M370)</f>
        <v>0</v>
      </c>
      <c r="L366" s="325">
        <f t="shared" si="12"/>
        <v>0</v>
      </c>
    </row>
    <row r="367" spans="11:12">
      <c r="K367" s="328">
        <f>IF(RentTimePeriod="Annual",'Rent Roll Detail Input'!M371*12,'Rent Roll Detail Input'!M371)</f>
        <v>0</v>
      </c>
      <c r="L367" s="325">
        <f t="shared" si="12"/>
        <v>0</v>
      </c>
    </row>
    <row r="368" spans="11:12">
      <c r="K368" s="328">
        <f>IF(RentTimePeriod="Annual",'Rent Roll Detail Input'!M372*12,'Rent Roll Detail Input'!M372)</f>
        <v>0</v>
      </c>
      <c r="L368" s="325">
        <f t="shared" si="12"/>
        <v>0</v>
      </c>
    </row>
    <row r="369" spans="11:12">
      <c r="K369" s="328">
        <f>IF(RentTimePeriod="Annual",'Rent Roll Detail Input'!M373*12,'Rent Roll Detail Input'!M373)</f>
        <v>0</v>
      </c>
      <c r="L369" s="325">
        <f t="shared" si="12"/>
        <v>0</v>
      </c>
    </row>
    <row r="370" spans="11:12">
      <c r="K370" s="328">
        <f>IF(RentTimePeriod="Annual",'Rent Roll Detail Input'!M374*12,'Rent Roll Detail Input'!M374)</f>
        <v>0</v>
      </c>
      <c r="L370" s="325">
        <f t="shared" si="12"/>
        <v>0</v>
      </c>
    </row>
    <row r="371" spans="11:12">
      <c r="K371" s="328">
        <f>IF(RentTimePeriod="Annual",'Rent Roll Detail Input'!M375*12,'Rent Roll Detail Input'!M375)</f>
        <v>0</v>
      </c>
      <c r="L371" s="325">
        <f t="shared" si="12"/>
        <v>0</v>
      </c>
    </row>
    <row r="372" spans="11:12">
      <c r="K372" s="328">
        <f>IF(RentTimePeriod="Annual",'Rent Roll Detail Input'!M376*12,'Rent Roll Detail Input'!M376)</f>
        <v>0</v>
      </c>
      <c r="L372" s="325">
        <f t="shared" si="12"/>
        <v>0</v>
      </c>
    </row>
    <row r="373" spans="11:12">
      <c r="K373" s="328">
        <f>IF(RentTimePeriod="Annual",'Rent Roll Detail Input'!M377*12,'Rent Roll Detail Input'!M377)</f>
        <v>0</v>
      </c>
      <c r="L373" s="325">
        <f t="shared" si="12"/>
        <v>0</v>
      </c>
    </row>
    <row r="374" spans="11:12">
      <c r="K374" s="328">
        <f>IF(RentTimePeriod="Annual",'Rent Roll Detail Input'!M378*12,'Rent Roll Detail Input'!M378)</f>
        <v>0</v>
      </c>
      <c r="L374" s="325">
        <f t="shared" si="12"/>
        <v>0</v>
      </c>
    </row>
    <row r="375" spans="11:12">
      <c r="K375" s="328">
        <f>IF(RentTimePeriod="Annual",'Rent Roll Detail Input'!M379*12,'Rent Roll Detail Input'!M379)</f>
        <v>0</v>
      </c>
      <c r="L375" s="325">
        <f t="shared" si="12"/>
        <v>0</v>
      </c>
    </row>
    <row r="376" spans="11:12">
      <c r="K376" s="328">
        <f>IF(RentTimePeriod="Annual",'Rent Roll Detail Input'!M380*12,'Rent Roll Detail Input'!M380)</f>
        <v>0</v>
      </c>
      <c r="L376" s="325">
        <f t="shared" si="12"/>
        <v>0</v>
      </c>
    </row>
    <row r="377" spans="11:12">
      <c r="K377" s="328">
        <f>IF(RentTimePeriod="Annual",'Rent Roll Detail Input'!M381*12,'Rent Roll Detail Input'!M381)</f>
        <v>0</v>
      </c>
      <c r="L377" s="325">
        <f t="shared" si="12"/>
        <v>0</v>
      </c>
    </row>
    <row r="378" spans="11:12">
      <c r="K378" s="328">
        <f>IF(RentTimePeriod="Annual",'Rent Roll Detail Input'!M382*12,'Rent Roll Detail Input'!M382)</f>
        <v>0</v>
      </c>
      <c r="L378" s="325">
        <f t="shared" si="12"/>
        <v>0</v>
      </c>
    </row>
    <row r="379" spans="11:12">
      <c r="K379" s="328">
        <f>IF(RentTimePeriod="Annual",'Rent Roll Detail Input'!M383*12,'Rent Roll Detail Input'!M383)</f>
        <v>0</v>
      </c>
      <c r="L379" s="325">
        <f t="shared" si="12"/>
        <v>0</v>
      </c>
    </row>
    <row r="380" spans="11:12">
      <c r="K380" s="328">
        <f>IF(RentTimePeriod="Annual",'Rent Roll Detail Input'!M384*12,'Rent Roll Detail Input'!M384)</f>
        <v>0</v>
      </c>
      <c r="L380" s="325">
        <f t="shared" si="12"/>
        <v>0</v>
      </c>
    </row>
    <row r="381" spans="11:12">
      <c r="K381" s="328">
        <f>IF(RentTimePeriod="Annual",'Rent Roll Detail Input'!M385*12,'Rent Roll Detail Input'!M385)</f>
        <v>0</v>
      </c>
      <c r="L381" s="325">
        <f t="shared" si="12"/>
        <v>0</v>
      </c>
    </row>
    <row r="382" spans="11:12">
      <c r="K382" s="328">
        <f>IF(RentTimePeriod="Annual",'Rent Roll Detail Input'!M386*12,'Rent Roll Detail Input'!M386)</f>
        <v>0</v>
      </c>
      <c r="L382" s="325">
        <f t="shared" si="12"/>
        <v>0</v>
      </c>
    </row>
    <row r="383" spans="11:12">
      <c r="K383" s="328">
        <f>IF(RentTimePeriod="Annual",'Rent Roll Detail Input'!M387*12,'Rent Roll Detail Input'!M387)</f>
        <v>0</v>
      </c>
      <c r="L383" s="325">
        <f t="shared" si="12"/>
        <v>0</v>
      </c>
    </row>
    <row r="384" spans="11:12">
      <c r="K384" s="328">
        <f>IF(RentTimePeriod="Annual",'Rent Roll Detail Input'!M388*12,'Rent Roll Detail Input'!M388)</f>
        <v>0</v>
      </c>
      <c r="L384" s="325">
        <f t="shared" si="12"/>
        <v>0</v>
      </c>
    </row>
    <row r="385" spans="11:12">
      <c r="K385" s="328">
        <f>IF(RentTimePeriod="Annual",'Rent Roll Detail Input'!M389*12,'Rent Roll Detail Input'!M389)</f>
        <v>0</v>
      </c>
      <c r="L385" s="325">
        <f t="shared" si="12"/>
        <v>0</v>
      </c>
    </row>
    <row r="386" spans="11:12">
      <c r="K386" s="328">
        <f>IF(RentTimePeriod="Annual",'Rent Roll Detail Input'!M390*12,'Rent Roll Detail Input'!M390)</f>
        <v>0</v>
      </c>
      <c r="L386" s="325">
        <f t="shared" si="12"/>
        <v>0</v>
      </c>
    </row>
    <row r="387" spans="11:12">
      <c r="K387" s="328">
        <f>IF(RentTimePeriod="Annual",'Rent Roll Detail Input'!M391*12,'Rent Roll Detail Input'!M391)</f>
        <v>0</v>
      </c>
      <c r="L387" s="325">
        <f t="shared" si="12"/>
        <v>0</v>
      </c>
    </row>
    <row r="388" spans="11:12">
      <c r="K388" s="328">
        <f>IF(RentTimePeriod="Annual",'Rent Roll Detail Input'!M392*12,'Rent Roll Detail Input'!M392)</f>
        <v>0</v>
      </c>
      <c r="L388" s="325">
        <f t="shared" si="12"/>
        <v>0</v>
      </c>
    </row>
    <row r="389" spans="11:12">
      <c r="K389" s="328">
        <f>IF(RentTimePeriod="Annual",'Rent Roll Detail Input'!M393*12,'Rent Roll Detail Input'!M393)</f>
        <v>0</v>
      </c>
      <c r="L389" s="325">
        <f t="shared" si="12"/>
        <v>0</v>
      </c>
    </row>
    <row r="390" spans="11:12">
      <c r="K390" s="328">
        <f>IF(RentTimePeriod="Annual",'Rent Roll Detail Input'!M394*12,'Rent Roll Detail Input'!M394)</f>
        <v>0</v>
      </c>
      <c r="L390" s="325">
        <f t="shared" si="12"/>
        <v>0</v>
      </c>
    </row>
    <row r="391" spans="11:12">
      <c r="K391" s="328">
        <f>IF(RentTimePeriod="Annual",'Rent Roll Detail Input'!M395*12,'Rent Roll Detail Input'!M395)</f>
        <v>0</v>
      </c>
      <c r="L391" s="325">
        <f t="shared" si="12"/>
        <v>0</v>
      </c>
    </row>
    <row r="392" spans="11:12">
      <c r="K392" s="328">
        <f>IF(RentTimePeriod="Annual",'Rent Roll Detail Input'!M396*12,'Rent Roll Detail Input'!M396)</f>
        <v>0</v>
      </c>
      <c r="L392" s="325">
        <f t="shared" ref="L392:L455" si="13">IF(D392="N/A","N/A",IFERROR(K392/D392,0))</f>
        <v>0</v>
      </c>
    </row>
    <row r="393" spans="11:12">
      <c r="K393" s="328">
        <f>IF(RentTimePeriod="Annual",'Rent Roll Detail Input'!M397*12,'Rent Roll Detail Input'!M397)</f>
        <v>0</v>
      </c>
      <c r="L393" s="325">
        <f t="shared" si="13"/>
        <v>0</v>
      </c>
    </row>
    <row r="394" spans="11:12">
      <c r="K394" s="328">
        <f>IF(RentTimePeriod="Annual",'Rent Roll Detail Input'!M398*12,'Rent Roll Detail Input'!M398)</f>
        <v>0</v>
      </c>
      <c r="L394" s="325">
        <f t="shared" si="13"/>
        <v>0</v>
      </c>
    </row>
    <row r="395" spans="11:12">
      <c r="K395" s="328">
        <f>IF(RentTimePeriod="Annual",'Rent Roll Detail Input'!M399*12,'Rent Roll Detail Input'!M399)</f>
        <v>0</v>
      </c>
      <c r="L395" s="325">
        <f t="shared" si="13"/>
        <v>0</v>
      </c>
    </row>
    <row r="396" spans="11:12">
      <c r="K396" s="328">
        <f>IF(RentTimePeriod="Annual",'Rent Roll Detail Input'!M400*12,'Rent Roll Detail Input'!M400)</f>
        <v>0</v>
      </c>
      <c r="L396" s="325">
        <f t="shared" si="13"/>
        <v>0</v>
      </c>
    </row>
    <row r="397" spans="11:12">
      <c r="K397" s="328">
        <f>IF(RentTimePeriod="Annual",'Rent Roll Detail Input'!M401*12,'Rent Roll Detail Input'!M401)</f>
        <v>0</v>
      </c>
      <c r="L397" s="325">
        <f t="shared" si="13"/>
        <v>0</v>
      </c>
    </row>
    <row r="398" spans="11:12">
      <c r="K398" s="328">
        <f>IF(RentTimePeriod="Annual",'Rent Roll Detail Input'!M402*12,'Rent Roll Detail Input'!M402)</f>
        <v>0</v>
      </c>
      <c r="L398" s="325">
        <f t="shared" si="13"/>
        <v>0</v>
      </c>
    </row>
    <row r="399" spans="11:12">
      <c r="K399" s="328">
        <f>IF(RentTimePeriod="Annual",'Rent Roll Detail Input'!M403*12,'Rent Roll Detail Input'!M403)</f>
        <v>0</v>
      </c>
      <c r="L399" s="325">
        <f t="shared" si="13"/>
        <v>0</v>
      </c>
    </row>
    <row r="400" spans="11:12">
      <c r="K400" s="328">
        <f>IF(RentTimePeriod="Annual",'Rent Roll Detail Input'!M404*12,'Rent Roll Detail Input'!M404)</f>
        <v>0</v>
      </c>
      <c r="L400" s="325">
        <f t="shared" si="13"/>
        <v>0</v>
      </c>
    </row>
    <row r="401" spans="11:12">
      <c r="K401" s="328">
        <f>IF(RentTimePeriod="Annual",'Rent Roll Detail Input'!M405*12,'Rent Roll Detail Input'!M405)</f>
        <v>0</v>
      </c>
      <c r="L401" s="325">
        <f t="shared" si="13"/>
        <v>0</v>
      </c>
    </row>
    <row r="402" spans="11:12">
      <c r="K402" s="328">
        <f>IF(RentTimePeriod="Annual",'Rent Roll Detail Input'!M406*12,'Rent Roll Detail Input'!M406)</f>
        <v>0</v>
      </c>
      <c r="L402" s="325">
        <f t="shared" si="13"/>
        <v>0</v>
      </c>
    </row>
    <row r="403" spans="11:12">
      <c r="K403" s="328">
        <f>IF(RentTimePeriod="Annual",'Rent Roll Detail Input'!M407*12,'Rent Roll Detail Input'!M407)</f>
        <v>0</v>
      </c>
      <c r="L403" s="325">
        <f t="shared" si="13"/>
        <v>0</v>
      </c>
    </row>
    <row r="404" spans="11:12">
      <c r="K404" s="328">
        <f>IF(RentTimePeriod="Annual",'Rent Roll Detail Input'!M408*12,'Rent Roll Detail Input'!M408)</f>
        <v>0</v>
      </c>
      <c r="L404" s="325">
        <f t="shared" si="13"/>
        <v>0</v>
      </c>
    </row>
    <row r="405" spans="11:12">
      <c r="K405" s="328">
        <f>IF(RentTimePeriod="Annual",'Rent Roll Detail Input'!M409*12,'Rent Roll Detail Input'!M409)</f>
        <v>0</v>
      </c>
      <c r="L405" s="325">
        <f t="shared" si="13"/>
        <v>0</v>
      </c>
    </row>
    <row r="406" spans="11:12">
      <c r="K406" s="328">
        <f>IF(RentTimePeriod="Annual",'Rent Roll Detail Input'!M410*12,'Rent Roll Detail Input'!M410)</f>
        <v>0</v>
      </c>
      <c r="L406" s="325">
        <f t="shared" si="13"/>
        <v>0</v>
      </c>
    </row>
    <row r="407" spans="11:12">
      <c r="K407" s="328">
        <f>IF(RentTimePeriod="Annual",'Rent Roll Detail Input'!M411*12,'Rent Roll Detail Input'!M411)</f>
        <v>0</v>
      </c>
      <c r="L407" s="325">
        <f t="shared" si="13"/>
        <v>0</v>
      </c>
    </row>
    <row r="408" spans="11:12">
      <c r="K408" s="328">
        <f>IF(RentTimePeriod="Annual",'Rent Roll Detail Input'!M412*12,'Rent Roll Detail Input'!M412)</f>
        <v>0</v>
      </c>
      <c r="L408" s="325">
        <f t="shared" si="13"/>
        <v>0</v>
      </c>
    </row>
    <row r="409" spans="11:12">
      <c r="K409" s="328">
        <f>IF(RentTimePeriod="Annual",'Rent Roll Detail Input'!M413*12,'Rent Roll Detail Input'!M413)</f>
        <v>0</v>
      </c>
      <c r="L409" s="325">
        <f t="shared" si="13"/>
        <v>0</v>
      </c>
    </row>
    <row r="410" spans="11:12">
      <c r="K410" s="328">
        <f>IF(RentTimePeriod="Annual",'Rent Roll Detail Input'!M414*12,'Rent Roll Detail Input'!M414)</f>
        <v>0</v>
      </c>
      <c r="L410" s="325">
        <f t="shared" si="13"/>
        <v>0</v>
      </c>
    </row>
    <row r="411" spans="11:12">
      <c r="K411" s="328">
        <f>IF(RentTimePeriod="Annual",'Rent Roll Detail Input'!M415*12,'Rent Roll Detail Input'!M415)</f>
        <v>0</v>
      </c>
      <c r="L411" s="325">
        <f t="shared" si="13"/>
        <v>0</v>
      </c>
    </row>
    <row r="412" spans="11:12">
      <c r="K412" s="328">
        <f>IF(RentTimePeriod="Annual",'Rent Roll Detail Input'!M416*12,'Rent Roll Detail Input'!M416)</f>
        <v>0</v>
      </c>
      <c r="L412" s="325">
        <f t="shared" si="13"/>
        <v>0</v>
      </c>
    </row>
    <row r="413" spans="11:12">
      <c r="K413" s="328">
        <f>IF(RentTimePeriod="Annual",'Rent Roll Detail Input'!M417*12,'Rent Roll Detail Input'!M417)</f>
        <v>0</v>
      </c>
      <c r="L413" s="325">
        <f t="shared" si="13"/>
        <v>0</v>
      </c>
    </row>
    <row r="414" spans="11:12">
      <c r="K414" s="328">
        <f>IF(RentTimePeriod="Annual",'Rent Roll Detail Input'!M418*12,'Rent Roll Detail Input'!M418)</f>
        <v>0</v>
      </c>
      <c r="L414" s="325">
        <f t="shared" si="13"/>
        <v>0</v>
      </c>
    </row>
    <row r="415" spans="11:12">
      <c r="K415" s="328">
        <f>IF(RentTimePeriod="Annual",'Rent Roll Detail Input'!M419*12,'Rent Roll Detail Input'!M419)</f>
        <v>0</v>
      </c>
      <c r="L415" s="325">
        <f t="shared" si="13"/>
        <v>0</v>
      </c>
    </row>
    <row r="416" spans="11:12">
      <c r="K416" s="328">
        <f>IF(RentTimePeriod="Annual",'Rent Roll Detail Input'!M420*12,'Rent Roll Detail Input'!M420)</f>
        <v>0</v>
      </c>
      <c r="L416" s="325">
        <f t="shared" si="13"/>
        <v>0</v>
      </c>
    </row>
    <row r="417" spans="11:12">
      <c r="K417" s="328">
        <f>IF(RentTimePeriod="Annual",'Rent Roll Detail Input'!M421*12,'Rent Roll Detail Input'!M421)</f>
        <v>0</v>
      </c>
      <c r="L417" s="325">
        <f t="shared" si="13"/>
        <v>0</v>
      </c>
    </row>
    <row r="418" spans="11:12">
      <c r="K418" s="328">
        <f>IF(RentTimePeriod="Annual",'Rent Roll Detail Input'!M422*12,'Rent Roll Detail Input'!M422)</f>
        <v>0</v>
      </c>
      <c r="L418" s="325">
        <f t="shared" si="13"/>
        <v>0</v>
      </c>
    </row>
    <row r="419" spans="11:12">
      <c r="K419" s="328">
        <f>IF(RentTimePeriod="Annual",'Rent Roll Detail Input'!M423*12,'Rent Roll Detail Input'!M423)</f>
        <v>0</v>
      </c>
      <c r="L419" s="325">
        <f t="shared" si="13"/>
        <v>0</v>
      </c>
    </row>
    <row r="420" spans="11:12">
      <c r="K420" s="328">
        <f>IF(RentTimePeriod="Annual",'Rent Roll Detail Input'!M424*12,'Rent Roll Detail Input'!M424)</f>
        <v>0</v>
      </c>
      <c r="L420" s="325">
        <f t="shared" si="13"/>
        <v>0</v>
      </c>
    </row>
    <row r="421" spans="11:12">
      <c r="K421" s="328">
        <f>IF(RentTimePeriod="Annual",'Rent Roll Detail Input'!M425*12,'Rent Roll Detail Input'!M425)</f>
        <v>0</v>
      </c>
      <c r="L421" s="325">
        <f t="shared" si="13"/>
        <v>0</v>
      </c>
    </row>
    <row r="422" spans="11:12">
      <c r="K422" s="328">
        <f>IF(RentTimePeriod="Annual",'Rent Roll Detail Input'!M426*12,'Rent Roll Detail Input'!M426)</f>
        <v>0</v>
      </c>
      <c r="L422" s="325">
        <f t="shared" si="13"/>
        <v>0</v>
      </c>
    </row>
    <row r="423" spans="11:12">
      <c r="K423" s="328">
        <f>IF(RentTimePeriod="Annual",'Rent Roll Detail Input'!M427*12,'Rent Roll Detail Input'!M427)</f>
        <v>0</v>
      </c>
      <c r="L423" s="325">
        <f t="shared" si="13"/>
        <v>0</v>
      </c>
    </row>
    <row r="424" spans="11:12">
      <c r="K424" s="328">
        <f>IF(RentTimePeriod="Annual",'Rent Roll Detail Input'!M428*12,'Rent Roll Detail Input'!M428)</f>
        <v>0</v>
      </c>
      <c r="L424" s="325">
        <f t="shared" si="13"/>
        <v>0</v>
      </c>
    </row>
    <row r="425" spans="11:12">
      <c r="K425" s="328">
        <f>IF(RentTimePeriod="Annual",'Rent Roll Detail Input'!M429*12,'Rent Roll Detail Input'!M429)</f>
        <v>0</v>
      </c>
      <c r="L425" s="325">
        <f t="shared" si="13"/>
        <v>0</v>
      </c>
    </row>
    <row r="426" spans="11:12">
      <c r="K426" s="328">
        <f>IF(RentTimePeriod="Annual",'Rent Roll Detail Input'!M430*12,'Rent Roll Detail Input'!M430)</f>
        <v>0</v>
      </c>
      <c r="L426" s="325">
        <f t="shared" si="13"/>
        <v>0</v>
      </c>
    </row>
    <row r="427" spans="11:12">
      <c r="K427" s="328">
        <f>IF(RentTimePeriod="Annual",'Rent Roll Detail Input'!M431*12,'Rent Roll Detail Input'!M431)</f>
        <v>0</v>
      </c>
      <c r="L427" s="325">
        <f t="shared" si="13"/>
        <v>0</v>
      </c>
    </row>
    <row r="428" spans="11:12">
      <c r="K428" s="328">
        <f>IF(RentTimePeriod="Annual",'Rent Roll Detail Input'!M432*12,'Rent Roll Detail Input'!M432)</f>
        <v>0</v>
      </c>
      <c r="L428" s="325">
        <f t="shared" si="13"/>
        <v>0</v>
      </c>
    </row>
    <row r="429" spans="11:12">
      <c r="K429" s="328">
        <f>IF(RentTimePeriod="Annual",'Rent Roll Detail Input'!M433*12,'Rent Roll Detail Input'!M433)</f>
        <v>0</v>
      </c>
      <c r="L429" s="325">
        <f t="shared" si="13"/>
        <v>0</v>
      </c>
    </row>
    <row r="430" spans="11:12">
      <c r="K430" s="328">
        <f>IF(RentTimePeriod="Annual",'Rent Roll Detail Input'!M434*12,'Rent Roll Detail Input'!M434)</f>
        <v>0</v>
      </c>
      <c r="L430" s="325">
        <f t="shared" si="13"/>
        <v>0</v>
      </c>
    </row>
    <row r="431" spans="11:12">
      <c r="K431" s="328">
        <f>IF(RentTimePeriod="Annual",'Rent Roll Detail Input'!M435*12,'Rent Roll Detail Input'!M435)</f>
        <v>0</v>
      </c>
      <c r="L431" s="325">
        <f t="shared" si="13"/>
        <v>0</v>
      </c>
    </row>
    <row r="432" spans="11:12">
      <c r="K432" s="328">
        <f>IF(RentTimePeriod="Annual",'Rent Roll Detail Input'!M436*12,'Rent Roll Detail Input'!M436)</f>
        <v>0</v>
      </c>
      <c r="L432" s="325">
        <f t="shared" si="13"/>
        <v>0</v>
      </c>
    </row>
    <row r="433" spans="11:12">
      <c r="K433" s="328">
        <f>IF(RentTimePeriod="Annual",'Rent Roll Detail Input'!M437*12,'Rent Roll Detail Input'!M437)</f>
        <v>0</v>
      </c>
      <c r="L433" s="325">
        <f t="shared" si="13"/>
        <v>0</v>
      </c>
    </row>
    <row r="434" spans="11:12">
      <c r="K434" s="328">
        <f>IF(RentTimePeriod="Annual",'Rent Roll Detail Input'!M438*12,'Rent Roll Detail Input'!M438)</f>
        <v>0</v>
      </c>
      <c r="L434" s="325">
        <f t="shared" si="13"/>
        <v>0</v>
      </c>
    </row>
    <row r="435" spans="11:12">
      <c r="K435" s="328">
        <f>IF(RentTimePeriod="Annual",'Rent Roll Detail Input'!M439*12,'Rent Roll Detail Input'!M439)</f>
        <v>0</v>
      </c>
      <c r="L435" s="325">
        <f t="shared" si="13"/>
        <v>0</v>
      </c>
    </row>
    <row r="436" spans="11:12">
      <c r="K436" s="328">
        <f>IF(RentTimePeriod="Annual",'Rent Roll Detail Input'!M440*12,'Rent Roll Detail Input'!M440)</f>
        <v>0</v>
      </c>
      <c r="L436" s="325">
        <f t="shared" si="13"/>
        <v>0</v>
      </c>
    </row>
    <row r="437" spans="11:12">
      <c r="K437" s="328">
        <f>IF(RentTimePeriod="Annual",'Rent Roll Detail Input'!M441*12,'Rent Roll Detail Input'!M441)</f>
        <v>0</v>
      </c>
      <c r="L437" s="325">
        <f t="shared" si="13"/>
        <v>0</v>
      </c>
    </row>
    <row r="438" spans="11:12">
      <c r="K438" s="328">
        <f>IF(RentTimePeriod="Annual",'Rent Roll Detail Input'!M442*12,'Rent Roll Detail Input'!M442)</f>
        <v>0</v>
      </c>
      <c r="L438" s="325">
        <f t="shared" si="13"/>
        <v>0</v>
      </c>
    </row>
    <row r="439" spans="11:12">
      <c r="K439" s="328">
        <f>IF(RentTimePeriod="Annual",'Rent Roll Detail Input'!M443*12,'Rent Roll Detail Input'!M443)</f>
        <v>0</v>
      </c>
      <c r="L439" s="325">
        <f t="shared" si="13"/>
        <v>0</v>
      </c>
    </row>
    <row r="440" spans="11:12">
      <c r="K440" s="328">
        <f>IF(RentTimePeriod="Annual",'Rent Roll Detail Input'!M444*12,'Rent Roll Detail Input'!M444)</f>
        <v>0</v>
      </c>
      <c r="L440" s="325">
        <f t="shared" si="13"/>
        <v>0</v>
      </c>
    </row>
    <row r="441" spans="11:12">
      <c r="K441" s="328">
        <f>IF(RentTimePeriod="Annual",'Rent Roll Detail Input'!M445*12,'Rent Roll Detail Input'!M445)</f>
        <v>0</v>
      </c>
      <c r="L441" s="325">
        <f t="shared" si="13"/>
        <v>0</v>
      </c>
    </row>
    <row r="442" spans="11:12">
      <c r="K442" s="328">
        <f>IF(RentTimePeriod="Annual",'Rent Roll Detail Input'!M446*12,'Rent Roll Detail Input'!M446)</f>
        <v>0</v>
      </c>
      <c r="L442" s="325">
        <f t="shared" si="13"/>
        <v>0</v>
      </c>
    </row>
    <row r="443" spans="11:12">
      <c r="K443" s="328">
        <f>IF(RentTimePeriod="Annual",'Rent Roll Detail Input'!M447*12,'Rent Roll Detail Input'!M447)</f>
        <v>0</v>
      </c>
      <c r="L443" s="325">
        <f t="shared" si="13"/>
        <v>0</v>
      </c>
    </row>
    <row r="444" spans="11:12">
      <c r="K444" s="328">
        <f>IF(RentTimePeriod="Annual",'Rent Roll Detail Input'!M448*12,'Rent Roll Detail Input'!M448)</f>
        <v>0</v>
      </c>
      <c r="L444" s="325">
        <f t="shared" si="13"/>
        <v>0</v>
      </c>
    </row>
    <row r="445" spans="11:12">
      <c r="K445" s="328">
        <f>IF(RentTimePeriod="Annual",'Rent Roll Detail Input'!M449*12,'Rent Roll Detail Input'!M449)</f>
        <v>0</v>
      </c>
      <c r="L445" s="325">
        <f t="shared" si="13"/>
        <v>0</v>
      </c>
    </row>
    <row r="446" spans="11:12">
      <c r="K446" s="328">
        <f>IF(RentTimePeriod="Annual",'Rent Roll Detail Input'!M450*12,'Rent Roll Detail Input'!M450)</f>
        <v>0</v>
      </c>
      <c r="L446" s="325">
        <f t="shared" si="13"/>
        <v>0</v>
      </c>
    </row>
    <row r="447" spans="11:12">
      <c r="K447" s="328">
        <f>IF(RentTimePeriod="Annual",'Rent Roll Detail Input'!M451*12,'Rent Roll Detail Input'!M451)</f>
        <v>0</v>
      </c>
      <c r="L447" s="325">
        <f t="shared" si="13"/>
        <v>0</v>
      </c>
    </row>
    <row r="448" spans="11:12">
      <c r="K448" s="328">
        <f>IF(RentTimePeriod="Annual",'Rent Roll Detail Input'!M452*12,'Rent Roll Detail Input'!M452)</f>
        <v>0</v>
      </c>
      <c r="L448" s="325">
        <f t="shared" si="13"/>
        <v>0</v>
      </c>
    </row>
    <row r="449" spans="11:12">
      <c r="K449" s="328">
        <f>IF(RentTimePeriod="Annual",'Rent Roll Detail Input'!M453*12,'Rent Roll Detail Input'!M453)</f>
        <v>0</v>
      </c>
      <c r="L449" s="325">
        <f t="shared" si="13"/>
        <v>0</v>
      </c>
    </row>
    <row r="450" spans="11:12">
      <c r="K450" s="328">
        <f>IF(RentTimePeriod="Annual",'Rent Roll Detail Input'!M454*12,'Rent Roll Detail Input'!M454)</f>
        <v>0</v>
      </c>
      <c r="L450" s="325">
        <f t="shared" si="13"/>
        <v>0</v>
      </c>
    </row>
    <row r="451" spans="11:12">
      <c r="K451" s="328">
        <f>IF(RentTimePeriod="Annual",'Rent Roll Detail Input'!M455*12,'Rent Roll Detail Input'!M455)</f>
        <v>0</v>
      </c>
      <c r="L451" s="325">
        <f t="shared" si="13"/>
        <v>0</v>
      </c>
    </row>
    <row r="452" spans="11:12">
      <c r="K452" s="328">
        <f>IF(RentTimePeriod="Annual",'Rent Roll Detail Input'!M456*12,'Rent Roll Detail Input'!M456)</f>
        <v>0</v>
      </c>
      <c r="L452" s="325">
        <f t="shared" si="13"/>
        <v>0</v>
      </c>
    </row>
    <row r="453" spans="11:12">
      <c r="K453" s="328">
        <f>IF(RentTimePeriod="Annual",'Rent Roll Detail Input'!M457*12,'Rent Roll Detail Input'!M457)</f>
        <v>0</v>
      </c>
      <c r="L453" s="325">
        <f t="shared" si="13"/>
        <v>0</v>
      </c>
    </row>
    <row r="454" spans="11:12">
      <c r="K454" s="328">
        <f>IF(RentTimePeriod="Annual",'Rent Roll Detail Input'!M458*12,'Rent Roll Detail Input'!M458)</f>
        <v>0</v>
      </c>
      <c r="L454" s="325">
        <f t="shared" si="13"/>
        <v>0</v>
      </c>
    </row>
    <row r="455" spans="11:12">
      <c r="K455" s="328">
        <f>IF(RentTimePeriod="Annual",'Rent Roll Detail Input'!M459*12,'Rent Roll Detail Input'!M459)</f>
        <v>0</v>
      </c>
      <c r="L455" s="325">
        <f t="shared" si="13"/>
        <v>0</v>
      </c>
    </row>
    <row r="456" spans="11:12">
      <c r="K456" s="328">
        <f>IF(RentTimePeriod="Annual",'Rent Roll Detail Input'!M460*12,'Rent Roll Detail Input'!M460)</f>
        <v>0</v>
      </c>
      <c r="L456" s="325">
        <f t="shared" ref="L456:L519" si="14">IF(D456="N/A","N/A",IFERROR(K456/D456,0))</f>
        <v>0</v>
      </c>
    </row>
    <row r="457" spans="11:12">
      <c r="K457" s="328">
        <f>IF(RentTimePeriod="Annual",'Rent Roll Detail Input'!M461*12,'Rent Roll Detail Input'!M461)</f>
        <v>0</v>
      </c>
      <c r="L457" s="325">
        <f t="shared" si="14"/>
        <v>0</v>
      </c>
    </row>
    <row r="458" spans="11:12">
      <c r="K458" s="328">
        <f>IF(RentTimePeriod="Annual",'Rent Roll Detail Input'!M462*12,'Rent Roll Detail Input'!M462)</f>
        <v>0</v>
      </c>
      <c r="L458" s="325">
        <f t="shared" si="14"/>
        <v>0</v>
      </c>
    </row>
    <row r="459" spans="11:12">
      <c r="K459" s="328">
        <f>IF(RentTimePeriod="Annual",'Rent Roll Detail Input'!M463*12,'Rent Roll Detail Input'!M463)</f>
        <v>0</v>
      </c>
      <c r="L459" s="325">
        <f t="shared" si="14"/>
        <v>0</v>
      </c>
    </row>
    <row r="460" spans="11:12">
      <c r="K460" s="328">
        <f>IF(RentTimePeriod="Annual",'Rent Roll Detail Input'!M464*12,'Rent Roll Detail Input'!M464)</f>
        <v>0</v>
      </c>
      <c r="L460" s="325">
        <f t="shared" si="14"/>
        <v>0</v>
      </c>
    </row>
    <row r="461" spans="11:12">
      <c r="K461" s="328">
        <f>IF(RentTimePeriod="Annual",'Rent Roll Detail Input'!M465*12,'Rent Roll Detail Input'!M465)</f>
        <v>0</v>
      </c>
      <c r="L461" s="325">
        <f t="shared" si="14"/>
        <v>0</v>
      </c>
    </row>
    <row r="462" spans="11:12">
      <c r="K462" s="328">
        <f>IF(RentTimePeriod="Annual",'Rent Roll Detail Input'!M466*12,'Rent Roll Detail Input'!M466)</f>
        <v>0</v>
      </c>
      <c r="L462" s="325">
        <f t="shared" si="14"/>
        <v>0</v>
      </c>
    </row>
    <row r="463" spans="11:12">
      <c r="K463" s="328">
        <f>IF(RentTimePeriod="Annual",'Rent Roll Detail Input'!M467*12,'Rent Roll Detail Input'!M467)</f>
        <v>0</v>
      </c>
      <c r="L463" s="325">
        <f t="shared" si="14"/>
        <v>0</v>
      </c>
    </row>
    <row r="464" spans="11:12">
      <c r="K464" s="328">
        <f>IF(RentTimePeriod="Annual",'Rent Roll Detail Input'!M468*12,'Rent Roll Detail Input'!M468)</f>
        <v>0</v>
      </c>
      <c r="L464" s="325">
        <f t="shared" si="14"/>
        <v>0</v>
      </c>
    </row>
    <row r="465" spans="11:12">
      <c r="K465" s="328">
        <f>IF(RentTimePeriod="Annual",'Rent Roll Detail Input'!M469*12,'Rent Roll Detail Input'!M469)</f>
        <v>0</v>
      </c>
      <c r="L465" s="325">
        <f t="shared" si="14"/>
        <v>0</v>
      </c>
    </row>
    <row r="466" spans="11:12">
      <c r="K466" s="328">
        <f>IF(RentTimePeriod="Annual",'Rent Roll Detail Input'!M470*12,'Rent Roll Detail Input'!M470)</f>
        <v>0</v>
      </c>
      <c r="L466" s="325">
        <f t="shared" si="14"/>
        <v>0</v>
      </c>
    </row>
    <row r="467" spans="11:12">
      <c r="K467" s="328">
        <f>IF(RentTimePeriod="Annual",'Rent Roll Detail Input'!M471*12,'Rent Roll Detail Input'!M471)</f>
        <v>0</v>
      </c>
      <c r="L467" s="325">
        <f t="shared" si="14"/>
        <v>0</v>
      </c>
    </row>
    <row r="468" spans="11:12">
      <c r="K468" s="328">
        <f>IF(RentTimePeriod="Annual",'Rent Roll Detail Input'!M472*12,'Rent Roll Detail Input'!M472)</f>
        <v>0</v>
      </c>
      <c r="L468" s="325">
        <f t="shared" si="14"/>
        <v>0</v>
      </c>
    </row>
    <row r="469" spans="11:12">
      <c r="K469" s="328">
        <f>IF(RentTimePeriod="Annual",'Rent Roll Detail Input'!M473*12,'Rent Roll Detail Input'!M473)</f>
        <v>0</v>
      </c>
      <c r="L469" s="325">
        <f t="shared" si="14"/>
        <v>0</v>
      </c>
    </row>
    <row r="470" spans="11:12">
      <c r="K470" s="328">
        <f>IF(RentTimePeriod="Annual",'Rent Roll Detail Input'!M474*12,'Rent Roll Detail Input'!M474)</f>
        <v>0</v>
      </c>
      <c r="L470" s="325">
        <f t="shared" si="14"/>
        <v>0</v>
      </c>
    </row>
    <row r="471" spans="11:12">
      <c r="K471" s="328">
        <f>IF(RentTimePeriod="Annual",'Rent Roll Detail Input'!M475*12,'Rent Roll Detail Input'!M475)</f>
        <v>0</v>
      </c>
      <c r="L471" s="325">
        <f t="shared" si="14"/>
        <v>0</v>
      </c>
    </row>
    <row r="472" spans="11:12">
      <c r="K472" s="328">
        <f>IF(RentTimePeriod="Annual",'Rent Roll Detail Input'!M476*12,'Rent Roll Detail Input'!M476)</f>
        <v>0</v>
      </c>
      <c r="L472" s="325">
        <f t="shared" si="14"/>
        <v>0</v>
      </c>
    </row>
    <row r="473" spans="11:12">
      <c r="K473" s="328">
        <f>IF(RentTimePeriod="Annual",'Rent Roll Detail Input'!M477*12,'Rent Roll Detail Input'!M477)</f>
        <v>0</v>
      </c>
      <c r="L473" s="325">
        <f t="shared" si="14"/>
        <v>0</v>
      </c>
    </row>
    <row r="474" spans="11:12">
      <c r="K474" s="328">
        <f>IF(RentTimePeriod="Annual",'Rent Roll Detail Input'!M478*12,'Rent Roll Detail Input'!M478)</f>
        <v>0</v>
      </c>
      <c r="L474" s="325">
        <f t="shared" si="14"/>
        <v>0</v>
      </c>
    </row>
    <row r="475" spans="11:12">
      <c r="K475" s="328">
        <f>IF(RentTimePeriod="Annual",'Rent Roll Detail Input'!M479*12,'Rent Roll Detail Input'!M479)</f>
        <v>0</v>
      </c>
      <c r="L475" s="325">
        <f t="shared" si="14"/>
        <v>0</v>
      </c>
    </row>
    <row r="476" spans="11:12">
      <c r="K476" s="328">
        <f>IF(RentTimePeriod="Annual",'Rent Roll Detail Input'!M480*12,'Rent Roll Detail Input'!M480)</f>
        <v>0</v>
      </c>
      <c r="L476" s="325">
        <f t="shared" si="14"/>
        <v>0</v>
      </c>
    </row>
    <row r="477" spans="11:12">
      <c r="K477" s="328">
        <f>IF(RentTimePeriod="Annual",'Rent Roll Detail Input'!M481*12,'Rent Roll Detail Input'!M481)</f>
        <v>0</v>
      </c>
      <c r="L477" s="325">
        <f t="shared" si="14"/>
        <v>0</v>
      </c>
    </row>
    <row r="478" spans="11:12">
      <c r="K478" s="328">
        <f>IF(RentTimePeriod="Annual",'Rent Roll Detail Input'!M482*12,'Rent Roll Detail Input'!M482)</f>
        <v>0</v>
      </c>
      <c r="L478" s="325">
        <f t="shared" si="14"/>
        <v>0</v>
      </c>
    </row>
    <row r="479" spans="11:12">
      <c r="K479" s="328">
        <f>IF(RentTimePeriod="Annual",'Rent Roll Detail Input'!M483*12,'Rent Roll Detail Input'!M483)</f>
        <v>0</v>
      </c>
      <c r="L479" s="325">
        <f t="shared" si="14"/>
        <v>0</v>
      </c>
    </row>
    <row r="480" spans="11:12">
      <c r="K480" s="328">
        <f>IF(RentTimePeriod="Annual",'Rent Roll Detail Input'!M484*12,'Rent Roll Detail Input'!M484)</f>
        <v>0</v>
      </c>
      <c r="L480" s="325">
        <f t="shared" si="14"/>
        <v>0</v>
      </c>
    </row>
    <row r="481" spans="11:12">
      <c r="K481" s="328">
        <f>IF(RentTimePeriod="Annual",'Rent Roll Detail Input'!M485*12,'Rent Roll Detail Input'!M485)</f>
        <v>0</v>
      </c>
      <c r="L481" s="325">
        <f t="shared" si="14"/>
        <v>0</v>
      </c>
    </row>
    <row r="482" spans="11:12">
      <c r="K482" s="328">
        <f>IF(RentTimePeriod="Annual",'Rent Roll Detail Input'!M486*12,'Rent Roll Detail Input'!M486)</f>
        <v>0</v>
      </c>
      <c r="L482" s="325">
        <f t="shared" si="14"/>
        <v>0</v>
      </c>
    </row>
    <row r="483" spans="11:12">
      <c r="K483" s="328">
        <f>IF(RentTimePeriod="Annual",'Rent Roll Detail Input'!M487*12,'Rent Roll Detail Input'!M487)</f>
        <v>0</v>
      </c>
      <c r="L483" s="325">
        <f t="shared" si="14"/>
        <v>0</v>
      </c>
    </row>
    <row r="484" spans="11:12">
      <c r="K484" s="328">
        <f>IF(RentTimePeriod="Annual",'Rent Roll Detail Input'!M488*12,'Rent Roll Detail Input'!M488)</f>
        <v>0</v>
      </c>
      <c r="L484" s="325">
        <f t="shared" si="14"/>
        <v>0</v>
      </c>
    </row>
    <row r="485" spans="11:12">
      <c r="K485" s="328">
        <f>IF(RentTimePeriod="Annual",'Rent Roll Detail Input'!M489*12,'Rent Roll Detail Input'!M489)</f>
        <v>0</v>
      </c>
      <c r="L485" s="325">
        <f t="shared" si="14"/>
        <v>0</v>
      </c>
    </row>
    <row r="486" spans="11:12">
      <c r="K486" s="328">
        <f>IF(RentTimePeriod="Annual",'Rent Roll Detail Input'!M490*12,'Rent Roll Detail Input'!M490)</f>
        <v>0</v>
      </c>
      <c r="L486" s="325">
        <f t="shared" si="14"/>
        <v>0</v>
      </c>
    </row>
    <row r="487" spans="11:12">
      <c r="K487" s="328">
        <f>IF(RentTimePeriod="Annual",'Rent Roll Detail Input'!M491*12,'Rent Roll Detail Input'!M491)</f>
        <v>0</v>
      </c>
      <c r="L487" s="325">
        <f t="shared" si="14"/>
        <v>0</v>
      </c>
    </row>
    <row r="488" spans="11:12">
      <c r="K488" s="328">
        <f>IF(RentTimePeriod="Annual",'Rent Roll Detail Input'!M492*12,'Rent Roll Detail Input'!M492)</f>
        <v>0</v>
      </c>
      <c r="L488" s="325">
        <f t="shared" si="14"/>
        <v>0</v>
      </c>
    </row>
    <row r="489" spans="11:12">
      <c r="K489" s="328">
        <f>IF(RentTimePeriod="Annual",'Rent Roll Detail Input'!M493*12,'Rent Roll Detail Input'!M493)</f>
        <v>0</v>
      </c>
      <c r="L489" s="325">
        <f t="shared" si="14"/>
        <v>0</v>
      </c>
    </row>
    <row r="490" spans="11:12">
      <c r="K490" s="328">
        <f>IF(RentTimePeriod="Annual",'Rent Roll Detail Input'!M494*12,'Rent Roll Detail Input'!M494)</f>
        <v>0</v>
      </c>
      <c r="L490" s="325">
        <f t="shared" si="14"/>
        <v>0</v>
      </c>
    </row>
    <row r="491" spans="11:12">
      <c r="K491" s="328">
        <f>IF(RentTimePeriod="Annual",'Rent Roll Detail Input'!M495*12,'Rent Roll Detail Input'!M495)</f>
        <v>0</v>
      </c>
      <c r="L491" s="325">
        <f t="shared" si="14"/>
        <v>0</v>
      </c>
    </row>
    <row r="492" spans="11:12">
      <c r="K492" s="328">
        <f>IF(RentTimePeriod="Annual",'Rent Roll Detail Input'!M496*12,'Rent Roll Detail Input'!M496)</f>
        <v>0</v>
      </c>
      <c r="L492" s="325">
        <f t="shared" si="14"/>
        <v>0</v>
      </c>
    </row>
    <row r="493" spans="11:12">
      <c r="K493" s="328">
        <f>IF(RentTimePeriod="Annual",'Rent Roll Detail Input'!M497*12,'Rent Roll Detail Input'!M497)</f>
        <v>0</v>
      </c>
      <c r="L493" s="325">
        <f t="shared" si="14"/>
        <v>0</v>
      </c>
    </row>
    <row r="494" spans="11:12">
      <c r="K494" s="328">
        <f>IF(RentTimePeriod="Annual",'Rent Roll Detail Input'!M498*12,'Rent Roll Detail Input'!M498)</f>
        <v>0</v>
      </c>
      <c r="L494" s="325">
        <f t="shared" si="14"/>
        <v>0</v>
      </c>
    </row>
    <row r="495" spans="11:12">
      <c r="K495" s="328">
        <f>IF(RentTimePeriod="Annual",'Rent Roll Detail Input'!M499*12,'Rent Roll Detail Input'!M499)</f>
        <v>0</v>
      </c>
      <c r="L495" s="325">
        <f t="shared" si="14"/>
        <v>0</v>
      </c>
    </row>
    <row r="496" spans="11:12">
      <c r="K496" s="328">
        <f>IF(RentTimePeriod="Annual",'Rent Roll Detail Input'!M500*12,'Rent Roll Detail Input'!M500)</f>
        <v>0</v>
      </c>
      <c r="L496" s="325">
        <f t="shared" si="14"/>
        <v>0</v>
      </c>
    </row>
    <row r="497" spans="11:12">
      <c r="K497" s="328">
        <f>IF(RentTimePeriod="Annual",'Rent Roll Detail Input'!M501*12,'Rent Roll Detail Input'!M501)</f>
        <v>0</v>
      </c>
      <c r="L497" s="325">
        <f t="shared" si="14"/>
        <v>0</v>
      </c>
    </row>
    <row r="498" spans="11:12">
      <c r="K498" s="328">
        <f>IF(RentTimePeriod="Annual",'Rent Roll Detail Input'!M502*12,'Rent Roll Detail Input'!M502)</f>
        <v>0</v>
      </c>
      <c r="L498" s="325">
        <f t="shared" si="14"/>
        <v>0</v>
      </c>
    </row>
    <row r="499" spans="11:12">
      <c r="K499" s="328">
        <f>IF(RentTimePeriod="Annual",'Rent Roll Detail Input'!M503*12,'Rent Roll Detail Input'!M503)</f>
        <v>0</v>
      </c>
      <c r="L499" s="325">
        <f t="shared" si="14"/>
        <v>0</v>
      </c>
    </row>
    <row r="500" spans="11:12">
      <c r="K500" s="328">
        <f>IF(RentTimePeriod="Annual",'Rent Roll Detail Input'!M504*12,'Rent Roll Detail Input'!M504)</f>
        <v>0</v>
      </c>
      <c r="L500" s="325">
        <f t="shared" si="14"/>
        <v>0</v>
      </c>
    </row>
    <row r="501" spans="11:12">
      <c r="K501" s="328">
        <f>IF(RentTimePeriod="Annual",'Rent Roll Detail Input'!M505*12,'Rent Roll Detail Input'!M505)</f>
        <v>0</v>
      </c>
      <c r="L501" s="325">
        <f t="shared" si="14"/>
        <v>0</v>
      </c>
    </row>
    <row r="502" spans="11:12">
      <c r="K502" s="328">
        <f>IF(RentTimePeriod="Annual",'Rent Roll Detail Input'!M506*12,'Rent Roll Detail Input'!M506)</f>
        <v>0</v>
      </c>
      <c r="L502" s="325">
        <f t="shared" si="14"/>
        <v>0</v>
      </c>
    </row>
    <row r="503" spans="11:12">
      <c r="K503" s="328">
        <f>IF(RentTimePeriod="Annual",'Rent Roll Detail Input'!M507*12,'Rent Roll Detail Input'!M507)</f>
        <v>0</v>
      </c>
      <c r="L503" s="325">
        <f t="shared" si="14"/>
        <v>0</v>
      </c>
    </row>
    <row r="504" spans="11:12">
      <c r="K504" s="328">
        <f>IF(RentTimePeriod="Annual",'Rent Roll Detail Input'!M508*12,'Rent Roll Detail Input'!M508)</f>
        <v>0</v>
      </c>
      <c r="L504" s="325">
        <f t="shared" si="14"/>
        <v>0</v>
      </c>
    </row>
    <row r="505" spans="11:12">
      <c r="K505" s="328">
        <f>IF(RentTimePeriod="Annual",'Rent Roll Detail Input'!M509*12,'Rent Roll Detail Input'!M509)</f>
        <v>0</v>
      </c>
      <c r="L505" s="325">
        <f t="shared" si="14"/>
        <v>0</v>
      </c>
    </row>
    <row r="506" spans="11:12">
      <c r="K506" s="328">
        <f>IF(RentTimePeriod="Annual",'Rent Roll Detail Input'!M510*12,'Rent Roll Detail Input'!M510)</f>
        <v>0</v>
      </c>
      <c r="L506" s="325">
        <f t="shared" si="14"/>
        <v>0</v>
      </c>
    </row>
    <row r="507" spans="11:12">
      <c r="K507" s="328">
        <f>IF(RentTimePeriod="Annual",'Rent Roll Detail Input'!M511*12,'Rent Roll Detail Input'!M511)</f>
        <v>0</v>
      </c>
      <c r="L507" s="325">
        <f t="shared" si="14"/>
        <v>0</v>
      </c>
    </row>
    <row r="508" spans="11:12">
      <c r="K508" s="328">
        <f>IF(RentTimePeriod="Annual",'Rent Roll Detail Input'!M512*12,'Rent Roll Detail Input'!M512)</f>
        <v>0</v>
      </c>
      <c r="L508" s="325">
        <f t="shared" si="14"/>
        <v>0</v>
      </c>
    </row>
    <row r="509" spans="11:12">
      <c r="K509" s="328">
        <f>IF(RentTimePeriod="Annual",'Rent Roll Detail Input'!M513*12,'Rent Roll Detail Input'!M513)</f>
        <v>0</v>
      </c>
      <c r="L509" s="325">
        <f t="shared" si="14"/>
        <v>0</v>
      </c>
    </row>
    <row r="510" spans="11:12">
      <c r="K510" s="328">
        <f>IF(RentTimePeriod="Annual",'Rent Roll Detail Input'!M514*12,'Rent Roll Detail Input'!M514)</f>
        <v>0</v>
      </c>
      <c r="L510" s="325">
        <f t="shared" si="14"/>
        <v>0</v>
      </c>
    </row>
    <row r="511" spans="11:12">
      <c r="K511" s="328">
        <f>IF(RentTimePeriod="Annual",'Rent Roll Detail Input'!M515*12,'Rent Roll Detail Input'!M515)</f>
        <v>0</v>
      </c>
      <c r="L511" s="325">
        <f t="shared" si="14"/>
        <v>0</v>
      </c>
    </row>
    <row r="512" spans="11:12">
      <c r="K512" s="328">
        <f>IF(RentTimePeriod="Annual",'Rent Roll Detail Input'!M516*12,'Rent Roll Detail Input'!M516)</f>
        <v>0</v>
      </c>
      <c r="L512" s="325">
        <f t="shared" si="14"/>
        <v>0</v>
      </c>
    </row>
    <row r="513" spans="11:12">
      <c r="K513" s="328">
        <f>IF(RentTimePeriod="Annual",'Rent Roll Detail Input'!M517*12,'Rent Roll Detail Input'!M517)</f>
        <v>0</v>
      </c>
      <c r="L513" s="325">
        <f t="shared" si="14"/>
        <v>0</v>
      </c>
    </row>
    <row r="514" spans="11:12">
      <c r="K514" s="328">
        <f>IF(RentTimePeriod="Annual",'Rent Roll Detail Input'!M518*12,'Rent Roll Detail Input'!M518)</f>
        <v>0</v>
      </c>
      <c r="L514" s="325">
        <f t="shared" si="14"/>
        <v>0</v>
      </c>
    </row>
    <row r="515" spans="11:12">
      <c r="K515" s="328">
        <f>IF(RentTimePeriod="Annual",'Rent Roll Detail Input'!M519*12,'Rent Roll Detail Input'!M519)</f>
        <v>0</v>
      </c>
      <c r="L515" s="325">
        <f t="shared" si="14"/>
        <v>0</v>
      </c>
    </row>
    <row r="516" spans="11:12">
      <c r="K516" s="328">
        <f>IF(RentTimePeriod="Annual",'Rent Roll Detail Input'!M520*12,'Rent Roll Detail Input'!M520)</f>
        <v>0</v>
      </c>
      <c r="L516" s="325">
        <f t="shared" si="14"/>
        <v>0</v>
      </c>
    </row>
    <row r="517" spans="11:12">
      <c r="K517" s="328">
        <f>IF(RentTimePeriod="Annual",'Rent Roll Detail Input'!M521*12,'Rent Roll Detail Input'!M521)</f>
        <v>0</v>
      </c>
      <c r="L517" s="325">
        <f t="shared" si="14"/>
        <v>0</v>
      </c>
    </row>
    <row r="518" spans="11:12">
      <c r="K518" s="328">
        <f>IF(RentTimePeriod="Annual",'Rent Roll Detail Input'!M522*12,'Rent Roll Detail Input'!M522)</f>
        <v>0</v>
      </c>
      <c r="L518" s="325">
        <f t="shared" si="14"/>
        <v>0</v>
      </c>
    </row>
    <row r="519" spans="11:12">
      <c r="K519" s="328">
        <f>IF(RentTimePeriod="Annual",'Rent Roll Detail Input'!M523*12,'Rent Roll Detail Input'!M523)</f>
        <v>0</v>
      </c>
      <c r="L519" s="325">
        <f t="shared" si="14"/>
        <v>0</v>
      </c>
    </row>
    <row r="520" spans="11:12">
      <c r="K520" s="328">
        <f>IF(RentTimePeriod="Annual",'Rent Roll Detail Input'!M524*12,'Rent Roll Detail Input'!M524)</f>
        <v>0</v>
      </c>
      <c r="L520" s="325">
        <f t="shared" ref="L520:L583" si="15">IF(D520="N/A","N/A",IFERROR(K520/D520,0))</f>
        <v>0</v>
      </c>
    </row>
    <row r="521" spans="11:12">
      <c r="K521" s="328">
        <f>IF(RentTimePeriod="Annual",'Rent Roll Detail Input'!M525*12,'Rent Roll Detail Input'!M525)</f>
        <v>0</v>
      </c>
      <c r="L521" s="325">
        <f t="shared" si="15"/>
        <v>0</v>
      </c>
    </row>
    <row r="522" spans="11:12">
      <c r="K522" s="328">
        <f>IF(RentTimePeriod="Annual",'Rent Roll Detail Input'!M526*12,'Rent Roll Detail Input'!M526)</f>
        <v>0</v>
      </c>
      <c r="L522" s="325">
        <f t="shared" si="15"/>
        <v>0</v>
      </c>
    </row>
    <row r="523" spans="11:12">
      <c r="K523" s="328">
        <f>IF(RentTimePeriod="Annual",'Rent Roll Detail Input'!M527*12,'Rent Roll Detail Input'!M527)</f>
        <v>0</v>
      </c>
      <c r="L523" s="325">
        <f t="shared" si="15"/>
        <v>0</v>
      </c>
    </row>
    <row r="524" spans="11:12">
      <c r="K524" s="328">
        <f>IF(RentTimePeriod="Annual",'Rent Roll Detail Input'!M528*12,'Rent Roll Detail Input'!M528)</f>
        <v>0</v>
      </c>
      <c r="L524" s="325">
        <f t="shared" si="15"/>
        <v>0</v>
      </c>
    </row>
    <row r="525" spans="11:12">
      <c r="K525" s="328">
        <f>IF(RentTimePeriod="Annual",'Rent Roll Detail Input'!M529*12,'Rent Roll Detail Input'!M529)</f>
        <v>0</v>
      </c>
      <c r="L525" s="325">
        <f t="shared" si="15"/>
        <v>0</v>
      </c>
    </row>
    <row r="526" spans="11:12">
      <c r="K526" s="328">
        <f>IF(RentTimePeriod="Annual",'Rent Roll Detail Input'!M530*12,'Rent Roll Detail Input'!M530)</f>
        <v>0</v>
      </c>
      <c r="L526" s="325">
        <f t="shared" si="15"/>
        <v>0</v>
      </c>
    </row>
    <row r="527" spans="11:12">
      <c r="K527" s="328">
        <f>IF(RentTimePeriod="Annual",'Rent Roll Detail Input'!M531*12,'Rent Roll Detail Input'!M531)</f>
        <v>0</v>
      </c>
      <c r="L527" s="325">
        <f t="shared" si="15"/>
        <v>0</v>
      </c>
    </row>
    <row r="528" spans="11:12">
      <c r="K528" s="328">
        <f>IF(RentTimePeriod="Annual",'Rent Roll Detail Input'!M532*12,'Rent Roll Detail Input'!M532)</f>
        <v>0</v>
      </c>
      <c r="L528" s="325">
        <f t="shared" si="15"/>
        <v>0</v>
      </c>
    </row>
    <row r="529" spans="11:12">
      <c r="K529" s="328">
        <f>IF(RentTimePeriod="Annual",'Rent Roll Detail Input'!M533*12,'Rent Roll Detail Input'!M533)</f>
        <v>0</v>
      </c>
      <c r="L529" s="325">
        <f t="shared" si="15"/>
        <v>0</v>
      </c>
    </row>
    <row r="530" spans="11:12">
      <c r="K530" s="328">
        <f>IF(RentTimePeriod="Annual",'Rent Roll Detail Input'!M534*12,'Rent Roll Detail Input'!M534)</f>
        <v>0</v>
      </c>
      <c r="L530" s="325">
        <f t="shared" si="15"/>
        <v>0</v>
      </c>
    </row>
    <row r="531" spans="11:12">
      <c r="K531" s="328">
        <f>IF(RentTimePeriod="Annual",'Rent Roll Detail Input'!M535*12,'Rent Roll Detail Input'!M535)</f>
        <v>0</v>
      </c>
      <c r="L531" s="325">
        <f t="shared" si="15"/>
        <v>0</v>
      </c>
    </row>
    <row r="532" spans="11:12">
      <c r="K532" s="328">
        <f>IF(RentTimePeriod="Annual",'Rent Roll Detail Input'!M536*12,'Rent Roll Detail Input'!M536)</f>
        <v>0</v>
      </c>
      <c r="L532" s="325">
        <f t="shared" si="15"/>
        <v>0</v>
      </c>
    </row>
    <row r="533" spans="11:12">
      <c r="K533" s="328">
        <f>IF(RentTimePeriod="Annual",'Rent Roll Detail Input'!M537*12,'Rent Roll Detail Input'!M537)</f>
        <v>0</v>
      </c>
      <c r="L533" s="325">
        <f t="shared" si="15"/>
        <v>0</v>
      </c>
    </row>
    <row r="534" spans="11:12">
      <c r="K534" s="328">
        <f>IF(RentTimePeriod="Annual",'Rent Roll Detail Input'!M538*12,'Rent Roll Detail Input'!M538)</f>
        <v>0</v>
      </c>
      <c r="L534" s="325">
        <f t="shared" si="15"/>
        <v>0</v>
      </c>
    </row>
    <row r="535" spans="11:12">
      <c r="K535" s="328">
        <f>IF(RentTimePeriod="Annual",'Rent Roll Detail Input'!M539*12,'Rent Roll Detail Input'!M539)</f>
        <v>0</v>
      </c>
      <c r="L535" s="325">
        <f t="shared" si="15"/>
        <v>0</v>
      </c>
    </row>
    <row r="536" spans="11:12">
      <c r="K536" s="328">
        <f>IF(RentTimePeriod="Annual",'Rent Roll Detail Input'!M540*12,'Rent Roll Detail Input'!M540)</f>
        <v>0</v>
      </c>
      <c r="L536" s="325">
        <f t="shared" si="15"/>
        <v>0</v>
      </c>
    </row>
    <row r="537" spans="11:12">
      <c r="K537" s="328">
        <f>IF(RentTimePeriod="Annual",'Rent Roll Detail Input'!M541*12,'Rent Roll Detail Input'!M541)</f>
        <v>0</v>
      </c>
      <c r="L537" s="325">
        <f t="shared" si="15"/>
        <v>0</v>
      </c>
    </row>
    <row r="538" spans="11:12">
      <c r="K538" s="328">
        <f>IF(RentTimePeriod="Annual",'Rent Roll Detail Input'!M542*12,'Rent Roll Detail Input'!M542)</f>
        <v>0</v>
      </c>
      <c r="L538" s="325">
        <f t="shared" si="15"/>
        <v>0</v>
      </c>
    </row>
    <row r="539" spans="11:12">
      <c r="K539" s="328">
        <f>IF(RentTimePeriod="Annual",'Rent Roll Detail Input'!M543*12,'Rent Roll Detail Input'!M543)</f>
        <v>0</v>
      </c>
      <c r="L539" s="325">
        <f t="shared" si="15"/>
        <v>0</v>
      </c>
    </row>
    <row r="540" spans="11:12">
      <c r="K540" s="328">
        <f>IF(RentTimePeriod="Annual",'Rent Roll Detail Input'!M544*12,'Rent Roll Detail Input'!M544)</f>
        <v>0</v>
      </c>
      <c r="L540" s="325">
        <f t="shared" si="15"/>
        <v>0</v>
      </c>
    </row>
    <row r="541" spans="11:12">
      <c r="K541" s="328">
        <f>IF(RentTimePeriod="Annual",'Rent Roll Detail Input'!M545*12,'Rent Roll Detail Input'!M545)</f>
        <v>0</v>
      </c>
      <c r="L541" s="325">
        <f t="shared" si="15"/>
        <v>0</v>
      </c>
    </row>
    <row r="542" spans="11:12">
      <c r="K542" s="328">
        <f>IF(RentTimePeriod="Annual",'Rent Roll Detail Input'!M546*12,'Rent Roll Detail Input'!M546)</f>
        <v>0</v>
      </c>
      <c r="L542" s="325">
        <f t="shared" si="15"/>
        <v>0</v>
      </c>
    </row>
    <row r="543" spans="11:12">
      <c r="K543" s="328">
        <f>IF(RentTimePeriod="Annual",'Rent Roll Detail Input'!M547*12,'Rent Roll Detail Input'!M547)</f>
        <v>0</v>
      </c>
      <c r="L543" s="325">
        <f t="shared" si="15"/>
        <v>0</v>
      </c>
    </row>
    <row r="544" spans="11:12">
      <c r="K544" s="328">
        <f>IF(RentTimePeriod="Annual",'Rent Roll Detail Input'!M548*12,'Rent Roll Detail Input'!M548)</f>
        <v>0</v>
      </c>
      <c r="L544" s="325">
        <f t="shared" si="15"/>
        <v>0</v>
      </c>
    </row>
    <row r="545" spans="11:12">
      <c r="K545" s="328">
        <f>IF(RentTimePeriod="Annual",'Rent Roll Detail Input'!M549*12,'Rent Roll Detail Input'!M549)</f>
        <v>0</v>
      </c>
      <c r="L545" s="325">
        <f t="shared" si="15"/>
        <v>0</v>
      </c>
    </row>
    <row r="546" spans="11:12">
      <c r="K546" s="328">
        <f>IF(RentTimePeriod="Annual",'Rent Roll Detail Input'!M550*12,'Rent Roll Detail Input'!M550)</f>
        <v>0</v>
      </c>
      <c r="L546" s="325">
        <f t="shared" si="15"/>
        <v>0</v>
      </c>
    </row>
    <row r="547" spans="11:12">
      <c r="K547" s="328">
        <f>IF(RentTimePeriod="Annual",'Rent Roll Detail Input'!M551*12,'Rent Roll Detail Input'!M551)</f>
        <v>0</v>
      </c>
      <c r="L547" s="325">
        <f t="shared" si="15"/>
        <v>0</v>
      </c>
    </row>
    <row r="548" spans="11:12">
      <c r="K548" s="328">
        <f>IF(RentTimePeriod="Annual",'Rent Roll Detail Input'!M552*12,'Rent Roll Detail Input'!M552)</f>
        <v>0</v>
      </c>
      <c r="L548" s="325">
        <f t="shared" si="15"/>
        <v>0</v>
      </c>
    </row>
    <row r="549" spans="11:12">
      <c r="K549" s="328">
        <f>IF(RentTimePeriod="Annual",'Rent Roll Detail Input'!M553*12,'Rent Roll Detail Input'!M553)</f>
        <v>0</v>
      </c>
      <c r="L549" s="325">
        <f t="shared" si="15"/>
        <v>0</v>
      </c>
    </row>
    <row r="550" spans="11:12">
      <c r="K550" s="328">
        <f>IF(RentTimePeriod="Annual",'Rent Roll Detail Input'!M554*12,'Rent Roll Detail Input'!M554)</f>
        <v>0</v>
      </c>
      <c r="L550" s="325">
        <f t="shared" si="15"/>
        <v>0</v>
      </c>
    </row>
    <row r="551" spans="11:12">
      <c r="K551" s="328">
        <f>IF(RentTimePeriod="Annual",'Rent Roll Detail Input'!M555*12,'Rent Roll Detail Input'!M555)</f>
        <v>0</v>
      </c>
      <c r="L551" s="325">
        <f t="shared" si="15"/>
        <v>0</v>
      </c>
    </row>
    <row r="552" spans="11:12">
      <c r="K552" s="328">
        <f>IF(RentTimePeriod="Annual",'Rent Roll Detail Input'!M556*12,'Rent Roll Detail Input'!M556)</f>
        <v>0</v>
      </c>
      <c r="L552" s="325">
        <f t="shared" si="15"/>
        <v>0</v>
      </c>
    </row>
    <row r="553" spans="11:12">
      <c r="K553" s="328">
        <f>IF(RentTimePeriod="Annual",'Rent Roll Detail Input'!M557*12,'Rent Roll Detail Input'!M557)</f>
        <v>0</v>
      </c>
      <c r="L553" s="325">
        <f t="shared" si="15"/>
        <v>0</v>
      </c>
    </row>
    <row r="554" spans="11:12">
      <c r="K554" s="328">
        <f>IF(RentTimePeriod="Annual",'Rent Roll Detail Input'!M558*12,'Rent Roll Detail Input'!M558)</f>
        <v>0</v>
      </c>
      <c r="L554" s="325">
        <f t="shared" si="15"/>
        <v>0</v>
      </c>
    </row>
    <row r="555" spans="11:12">
      <c r="K555" s="328">
        <f>IF(RentTimePeriod="Annual",'Rent Roll Detail Input'!M559*12,'Rent Roll Detail Input'!M559)</f>
        <v>0</v>
      </c>
      <c r="L555" s="325">
        <f t="shared" si="15"/>
        <v>0</v>
      </c>
    </row>
    <row r="556" spans="11:12">
      <c r="K556" s="328">
        <f>IF(RentTimePeriod="Annual",'Rent Roll Detail Input'!M560*12,'Rent Roll Detail Input'!M560)</f>
        <v>0</v>
      </c>
      <c r="L556" s="325">
        <f t="shared" si="15"/>
        <v>0</v>
      </c>
    </row>
    <row r="557" spans="11:12">
      <c r="K557" s="328">
        <f>IF(RentTimePeriod="Annual",'Rent Roll Detail Input'!M561*12,'Rent Roll Detail Input'!M561)</f>
        <v>0</v>
      </c>
      <c r="L557" s="325">
        <f t="shared" si="15"/>
        <v>0</v>
      </c>
    </row>
    <row r="558" spans="11:12">
      <c r="K558" s="328">
        <f>IF(RentTimePeriod="Annual",'Rent Roll Detail Input'!M562*12,'Rent Roll Detail Input'!M562)</f>
        <v>0</v>
      </c>
      <c r="L558" s="325">
        <f t="shared" si="15"/>
        <v>0</v>
      </c>
    </row>
    <row r="559" spans="11:12">
      <c r="K559" s="328">
        <f>IF(RentTimePeriod="Annual",'Rent Roll Detail Input'!M563*12,'Rent Roll Detail Input'!M563)</f>
        <v>0</v>
      </c>
      <c r="L559" s="325">
        <f t="shared" si="15"/>
        <v>0</v>
      </c>
    </row>
    <row r="560" spans="11:12">
      <c r="K560" s="328">
        <f>IF(RentTimePeriod="Annual",'Rent Roll Detail Input'!M564*12,'Rent Roll Detail Input'!M564)</f>
        <v>0</v>
      </c>
      <c r="L560" s="325">
        <f t="shared" si="15"/>
        <v>0</v>
      </c>
    </row>
    <row r="561" spans="11:12">
      <c r="K561" s="328">
        <f>IF(RentTimePeriod="Annual",'Rent Roll Detail Input'!M565*12,'Rent Roll Detail Input'!M565)</f>
        <v>0</v>
      </c>
      <c r="L561" s="325">
        <f t="shared" si="15"/>
        <v>0</v>
      </c>
    </row>
    <row r="562" spans="11:12">
      <c r="K562" s="328">
        <f>IF(RentTimePeriod="Annual",'Rent Roll Detail Input'!M566*12,'Rent Roll Detail Input'!M566)</f>
        <v>0</v>
      </c>
      <c r="L562" s="325">
        <f t="shared" si="15"/>
        <v>0</v>
      </c>
    </row>
    <row r="563" spans="11:12">
      <c r="K563" s="328">
        <f>IF(RentTimePeriod="Annual",'Rent Roll Detail Input'!M567*12,'Rent Roll Detail Input'!M567)</f>
        <v>0</v>
      </c>
      <c r="L563" s="325">
        <f t="shared" si="15"/>
        <v>0</v>
      </c>
    </row>
    <row r="564" spans="11:12">
      <c r="K564" s="328">
        <f>IF(RentTimePeriod="Annual",'Rent Roll Detail Input'!M568*12,'Rent Roll Detail Input'!M568)</f>
        <v>0</v>
      </c>
      <c r="L564" s="325">
        <f t="shared" si="15"/>
        <v>0</v>
      </c>
    </row>
    <row r="565" spans="11:12">
      <c r="K565" s="328">
        <f>IF(RentTimePeriod="Annual",'Rent Roll Detail Input'!M569*12,'Rent Roll Detail Input'!M569)</f>
        <v>0</v>
      </c>
      <c r="L565" s="325">
        <f t="shared" si="15"/>
        <v>0</v>
      </c>
    </row>
    <row r="566" spans="11:12">
      <c r="K566" s="328">
        <f>IF(RentTimePeriod="Annual",'Rent Roll Detail Input'!M570*12,'Rent Roll Detail Input'!M570)</f>
        <v>0</v>
      </c>
      <c r="L566" s="325">
        <f t="shared" si="15"/>
        <v>0</v>
      </c>
    </row>
    <row r="567" spans="11:12">
      <c r="K567" s="328">
        <f>IF(RentTimePeriod="Annual",'Rent Roll Detail Input'!M571*12,'Rent Roll Detail Input'!M571)</f>
        <v>0</v>
      </c>
      <c r="L567" s="325">
        <f t="shared" si="15"/>
        <v>0</v>
      </c>
    </row>
    <row r="568" spans="11:12">
      <c r="K568" s="328">
        <f>IF(RentTimePeriod="Annual",'Rent Roll Detail Input'!M572*12,'Rent Roll Detail Input'!M572)</f>
        <v>0</v>
      </c>
      <c r="L568" s="325">
        <f t="shared" si="15"/>
        <v>0</v>
      </c>
    </row>
    <row r="569" spans="11:12">
      <c r="K569" s="328">
        <f>IF(RentTimePeriod="Annual",'Rent Roll Detail Input'!M573*12,'Rent Roll Detail Input'!M573)</f>
        <v>0</v>
      </c>
      <c r="L569" s="325">
        <f t="shared" si="15"/>
        <v>0</v>
      </c>
    </row>
    <row r="570" spans="11:12">
      <c r="K570" s="328">
        <f>IF(RentTimePeriod="Annual",'Rent Roll Detail Input'!M574*12,'Rent Roll Detail Input'!M574)</f>
        <v>0</v>
      </c>
      <c r="L570" s="325">
        <f t="shared" si="15"/>
        <v>0</v>
      </c>
    </row>
    <row r="571" spans="11:12">
      <c r="K571" s="328">
        <f>IF(RentTimePeriod="Annual",'Rent Roll Detail Input'!M575*12,'Rent Roll Detail Input'!M575)</f>
        <v>0</v>
      </c>
      <c r="L571" s="325">
        <f t="shared" si="15"/>
        <v>0</v>
      </c>
    </row>
    <row r="572" spans="11:12">
      <c r="K572" s="328">
        <f>IF(RentTimePeriod="Annual",'Rent Roll Detail Input'!M576*12,'Rent Roll Detail Input'!M576)</f>
        <v>0</v>
      </c>
      <c r="L572" s="325">
        <f t="shared" si="15"/>
        <v>0</v>
      </c>
    </row>
    <row r="573" spans="11:12">
      <c r="K573" s="328">
        <f>IF(RentTimePeriod="Annual",'Rent Roll Detail Input'!M577*12,'Rent Roll Detail Input'!M577)</f>
        <v>0</v>
      </c>
      <c r="L573" s="325">
        <f t="shared" si="15"/>
        <v>0</v>
      </c>
    </row>
    <row r="574" spans="11:12">
      <c r="K574" s="328">
        <f>IF(RentTimePeriod="Annual",'Rent Roll Detail Input'!M578*12,'Rent Roll Detail Input'!M578)</f>
        <v>0</v>
      </c>
      <c r="L574" s="325">
        <f t="shared" si="15"/>
        <v>0</v>
      </c>
    </row>
    <row r="575" spans="11:12">
      <c r="K575" s="328">
        <f>IF(RentTimePeriod="Annual",'Rent Roll Detail Input'!M579*12,'Rent Roll Detail Input'!M579)</f>
        <v>0</v>
      </c>
      <c r="L575" s="325">
        <f t="shared" si="15"/>
        <v>0</v>
      </c>
    </row>
    <row r="576" spans="11:12">
      <c r="K576" s="328">
        <f>IF(RentTimePeriod="Annual",'Rent Roll Detail Input'!M580*12,'Rent Roll Detail Input'!M580)</f>
        <v>0</v>
      </c>
      <c r="L576" s="325">
        <f t="shared" si="15"/>
        <v>0</v>
      </c>
    </row>
    <row r="577" spans="11:12">
      <c r="K577" s="328">
        <f>IF(RentTimePeriod="Annual",'Rent Roll Detail Input'!M581*12,'Rent Roll Detail Input'!M581)</f>
        <v>0</v>
      </c>
      <c r="L577" s="325">
        <f t="shared" si="15"/>
        <v>0</v>
      </c>
    </row>
    <row r="578" spans="11:12">
      <c r="K578" s="328">
        <f>IF(RentTimePeriod="Annual",'Rent Roll Detail Input'!M582*12,'Rent Roll Detail Input'!M582)</f>
        <v>0</v>
      </c>
      <c r="L578" s="325">
        <f t="shared" si="15"/>
        <v>0</v>
      </c>
    </row>
    <row r="579" spans="11:12">
      <c r="K579" s="328">
        <f>IF(RentTimePeriod="Annual",'Rent Roll Detail Input'!M583*12,'Rent Roll Detail Input'!M583)</f>
        <v>0</v>
      </c>
      <c r="L579" s="325">
        <f t="shared" si="15"/>
        <v>0</v>
      </c>
    </row>
    <row r="580" spans="11:12">
      <c r="K580" s="328">
        <f>IF(RentTimePeriod="Annual",'Rent Roll Detail Input'!M584*12,'Rent Roll Detail Input'!M584)</f>
        <v>0</v>
      </c>
      <c r="L580" s="325">
        <f t="shared" si="15"/>
        <v>0</v>
      </c>
    </row>
    <row r="581" spans="11:12">
      <c r="K581" s="328">
        <f>IF(RentTimePeriod="Annual",'Rent Roll Detail Input'!M585*12,'Rent Roll Detail Input'!M585)</f>
        <v>0</v>
      </c>
      <c r="L581" s="325">
        <f t="shared" si="15"/>
        <v>0</v>
      </c>
    </row>
    <row r="582" spans="11:12">
      <c r="K582" s="328">
        <f>IF(RentTimePeriod="Annual",'Rent Roll Detail Input'!M586*12,'Rent Roll Detail Input'!M586)</f>
        <v>0</v>
      </c>
      <c r="L582" s="325">
        <f t="shared" si="15"/>
        <v>0</v>
      </c>
    </row>
    <row r="583" spans="11:12">
      <c r="K583" s="328">
        <f>IF(RentTimePeriod="Annual",'Rent Roll Detail Input'!M587*12,'Rent Roll Detail Input'!M587)</f>
        <v>0</v>
      </c>
      <c r="L583" s="325">
        <f t="shared" si="15"/>
        <v>0</v>
      </c>
    </row>
    <row r="584" spans="11:12">
      <c r="K584" s="328">
        <f>IF(RentTimePeriod="Annual",'Rent Roll Detail Input'!M588*12,'Rent Roll Detail Input'!M588)</f>
        <v>0</v>
      </c>
      <c r="L584" s="325">
        <f t="shared" ref="L584:L607" si="16">IF(D584="N/A","N/A",IFERROR(K584/D584,0))</f>
        <v>0</v>
      </c>
    </row>
    <row r="585" spans="11:12">
      <c r="K585" s="328">
        <f>IF(RentTimePeriod="Annual",'Rent Roll Detail Input'!M589*12,'Rent Roll Detail Input'!M589)</f>
        <v>0</v>
      </c>
      <c r="L585" s="325">
        <f t="shared" si="16"/>
        <v>0</v>
      </c>
    </row>
    <row r="586" spans="11:12">
      <c r="K586" s="328">
        <f>IF(RentTimePeriod="Annual",'Rent Roll Detail Input'!M590*12,'Rent Roll Detail Input'!M590)</f>
        <v>0</v>
      </c>
      <c r="L586" s="325">
        <f t="shared" si="16"/>
        <v>0</v>
      </c>
    </row>
    <row r="587" spans="11:12">
      <c r="K587" s="328">
        <f>IF(RentTimePeriod="Annual",'Rent Roll Detail Input'!M591*12,'Rent Roll Detail Input'!M591)</f>
        <v>0</v>
      </c>
      <c r="L587" s="325">
        <f t="shared" si="16"/>
        <v>0</v>
      </c>
    </row>
    <row r="588" spans="11:12">
      <c r="K588" s="328">
        <f>IF(RentTimePeriod="Annual",'Rent Roll Detail Input'!M592*12,'Rent Roll Detail Input'!M592)</f>
        <v>0</v>
      </c>
      <c r="L588" s="325">
        <f t="shared" si="16"/>
        <v>0</v>
      </c>
    </row>
    <row r="589" spans="11:12">
      <c r="K589" s="328">
        <f>IF(RentTimePeriod="Annual",'Rent Roll Detail Input'!M593*12,'Rent Roll Detail Input'!M593)</f>
        <v>0</v>
      </c>
      <c r="L589" s="325">
        <f t="shared" si="16"/>
        <v>0</v>
      </c>
    </row>
    <row r="590" spans="11:12">
      <c r="K590" s="328">
        <f>IF(RentTimePeriod="Annual",'Rent Roll Detail Input'!M594*12,'Rent Roll Detail Input'!M594)</f>
        <v>0</v>
      </c>
      <c r="L590" s="325">
        <f t="shared" si="16"/>
        <v>0</v>
      </c>
    </row>
    <row r="591" spans="11:12">
      <c r="K591" s="328">
        <f>IF(RentTimePeriod="Annual",'Rent Roll Detail Input'!M595*12,'Rent Roll Detail Input'!M595)</f>
        <v>0</v>
      </c>
      <c r="L591" s="325">
        <f t="shared" si="16"/>
        <v>0</v>
      </c>
    </row>
    <row r="592" spans="11:12">
      <c r="K592" s="328">
        <f>IF(RentTimePeriod="Annual",'Rent Roll Detail Input'!M596*12,'Rent Roll Detail Input'!M596)</f>
        <v>0</v>
      </c>
      <c r="L592" s="325">
        <f t="shared" si="16"/>
        <v>0</v>
      </c>
    </row>
    <row r="593" spans="11:12">
      <c r="K593" s="328">
        <f>IF(RentTimePeriod="Annual",'Rent Roll Detail Input'!M597*12,'Rent Roll Detail Input'!M597)</f>
        <v>0</v>
      </c>
      <c r="L593" s="325">
        <f t="shared" si="16"/>
        <v>0</v>
      </c>
    </row>
    <row r="594" spans="11:12">
      <c r="K594" s="328">
        <f>IF(RentTimePeriod="Annual",'Rent Roll Detail Input'!M598*12,'Rent Roll Detail Input'!M598)</f>
        <v>0</v>
      </c>
      <c r="L594" s="325">
        <f t="shared" si="16"/>
        <v>0</v>
      </c>
    </row>
    <row r="595" spans="11:12">
      <c r="K595" s="328">
        <f>IF(RentTimePeriod="Annual",'Rent Roll Detail Input'!M599*12,'Rent Roll Detail Input'!M599)</f>
        <v>0</v>
      </c>
      <c r="L595" s="325">
        <f t="shared" si="16"/>
        <v>0</v>
      </c>
    </row>
    <row r="596" spans="11:12">
      <c r="K596" s="328">
        <f>IF(RentTimePeriod="Annual",'Rent Roll Detail Input'!M600*12,'Rent Roll Detail Input'!M600)</f>
        <v>0</v>
      </c>
      <c r="L596" s="325">
        <f t="shared" si="16"/>
        <v>0</v>
      </c>
    </row>
    <row r="597" spans="11:12">
      <c r="K597" s="328">
        <f>IF(RentTimePeriod="Annual",'Rent Roll Detail Input'!M601*12,'Rent Roll Detail Input'!M601)</f>
        <v>0</v>
      </c>
      <c r="L597" s="325">
        <f t="shared" si="16"/>
        <v>0</v>
      </c>
    </row>
    <row r="598" spans="11:12">
      <c r="K598" s="328">
        <f>IF(RentTimePeriod="Annual",'Rent Roll Detail Input'!M602*12,'Rent Roll Detail Input'!M602)</f>
        <v>0</v>
      </c>
      <c r="L598" s="325">
        <f t="shared" si="16"/>
        <v>0</v>
      </c>
    </row>
    <row r="599" spans="11:12">
      <c r="K599" s="328">
        <f>IF(RentTimePeriod="Annual",'Rent Roll Detail Input'!M603*12,'Rent Roll Detail Input'!M603)</f>
        <v>0</v>
      </c>
      <c r="L599" s="325">
        <f t="shared" si="16"/>
        <v>0</v>
      </c>
    </row>
    <row r="600" spans="11:12">
      <c r="K600" s="328">
        <f>IF(RentTimePeriod="Annual",'Rent Roll Detail Input'!M604*12,'Rent Roll Detail Input'!M604)</f>
        <v>0</v>
      </c>
      <c r="L600" s="325">
        <f t="shared" si="16"/>
        <v>0</v>
      </c>
    </row>
    <row r="601" spans="11:12">
      <c r="K601" s="328">
        <f>IF(RentTimePeriod="Annual",'Rent Roll Detail Input'!M605*12,'Rent Roll Detail Input'!M605)</f>
        <v>0</v>
      </c>
      <c r="L601" s="325">
        <f t="shared" si="16"/>
        <v>0</v>
      </c>
    </row>
    <row r="602" spans="11:12">
      <c r="K602" s="328">
        <f>IF(RentTimePeriod="Annual",'Rent Roll Detail Input'!M606*12,'Rent Roll Detail Input'!M606)</f>
        <v>0</v>
      </c>
      <c r="L602" s="325">
        <f t="shared" si="16"/>
        <v>0</v>
      </c>
    </row>
    <row r="603" spans="11:12">
      <c r="K603" s="328">
        <f>IF(RentTimePeriod="Annual",'Rent Roll Detail Input'!M607*12,'Rent Roll Detail Input'!M607)</f>
        <v>0</v>
      </c>
      <c r="L603" s="325">
        <f t="shared" si="16"/>
        <v>0</v>
      </c>
    </row>
    <row r="604" spans="11:12">
      <c r="K604" s="328">
        <f>IF(RentTimePeriod="Annual",'Rent Roll Detail Input'!M608*12,'Rent Roll Detail Input'!M608)</f>
        <v>0</v>
      </c>
      <c r="L604" s="325">
        <f t="shared" si="16"/>
        <v>0</v>
      </c>
    </row>
    <row r="605" spans="11:12">
      <c r="K605" s="328">
        <f>IF(RentTimePeriod="Annual",'Rent Roll Detail Input'!M609*12,'Rent Roll Detail Input'!M609)</f>
        <v>0</v>
      </c>
      <c r="L605" s="325">
        <f t="shared" si="16"/>
        <v>0</v>
      </c>
    </row>
    <row r="606" spans="11:12">
      <c r="K606" s="328">
        <f>IF(RentTimePeriod="Annual",'Rent Roll Detail Input'!M610*12,'Rent Roll Detail Input'!M610)</f>
        <v>0</v>
      </c>
      <c r="L606" s="325">
        <f t="shared" si="16"/>
        <v>0</v>
      </c>
    </row>
    <row r="607" spans="11:12">
      <c r="K607" s="328">
        <f>IF(RentTimePeriod="Annual",'Rent Roll Detail Input'!M611*12,'Rent Roll Detail Input'!M611)</f>
        <v>0</v>
      </c>
      <c r="L607" s="325">
        <f t="shared" si="16"/>
        <v>0</v>
      </c>
    </row>
    <row r="608" spans="11:12">
      <c r="K608" s="328">
        <f>SUM(K8:K607)</f>
        <v>0</v>
      </c>
      <c r="L608" s="325">
        <f>IFERROR(K608/RRD_SF,0)</f>
        <v>0</v>
      </c>
    </row>
    <row r="609" spans="11:12">
      <c r="K609" s="328">
        <f>IF(RentTimePeriod="Annual",'Rent Roll Detail Input'!M613*12,'Rent Roll Detail Input'!M613)</f>
        <v>0</v>
      </c>
      <c r="L609" s="325">
        <f t="shared" ref="L609:L647" si="17">IF(D609="N/A","N/A",IFERROR(K609/D609,0))</f>
        <v>0</v>
      </c>
    </row>
    <row r="610" spans="11:12">
      <c r="K610" s="328">
        <f>IF(RentTimePeriod="Annual",'Rent Roll Detail Input'!M614*12,'Rent Roll Detail Input'!M614)</f>
        <v>0</v>
      </c>
      <c r="L610" s="325">
        <f t="shared" si="17"/>
        <v>0</v>
      </c>
    </row>
    <row r="611" spans="11:12">
      <c r="K611" s="328">
        <f>IF(RentTimePeriod="Annual",'Rent Roll Detail Input'!M615*12,'Rent Roll Detail Input'!M615)</f>
        <v>0</v>
      </c>
      <c r="L611" s="325">
        <f t="shared" si="17"/>
        <v>0</v>
      </c>
    </row>
    <row r="612" spans="11:12">
      <c r="K612" s="328">
        <f>IF(RentTimePeriod="Annual",'Rent Roll Detail Input'!M616*12,'Rent Roll Detail Input'!M616)</f>
        <v>0</v>
      </c>
      <c r="L612" s="325">
        <f t="shared" si="17"/>
        <v>0</v>
      </c>
    </row>
    <row r="613" spans="11:12">
      <c r="K613" s="328">
        <f>IF(RentTimePeriod="Annual",'Rent Roll Detail Input'!M617*12,'Rent Roll Detail Input'!M617)</f>
        <v>0</v>
      </c>
      <c r="L613" s="325">
        <f t="shared" si="17"/>
        <v>0</v>
      </c>
    </row>
    <row r="614" spans="11:12">
      <c r="K614" s="328">
        <f>IF(RentTimePeriod="Annual",'Rent Roll Detail Input'!M618*12,'Rent Roll Detail Input'!M618)</f>
        <v>0</v>
      </c>
      <c r="L614" s="325">
        <f t="shared" si="17"/>
        <v>0</v>
      </c>
    </row>
    <row r="615" spans="11:12">
      <c r="K615" s="328">
        <f>IF(RentTimePeriod="Annual",'Rent Roll Detail Input'!M619*12,'Rent Roll Detail Input'!M619)</f>
        <v>0</v>
      </c>
      <c r="L615" s="325">
        <f t="shared" si="17"/>
        <v>0</v>
      </c>
    </row>
    <row r="616" spans="11:12">
      <c r="K616" s="328">
        <f>IF(RentTimePeriod="Annual",'Rent Roll Detail Input'!M620*12,'Rent Roll Detail Input'!M620)</f>
        <v>0</v>
      </c>
      <c r="L616" s="325">
        <f t="shared" si="17"/>
        <v>0</v>
      </c>
    </row>
    <row r="617" spans="11:12">
      <c r="K617" s="328">
        <f>IF(RentTimePeriod="Annual",'Rent Roll Detail Input'!M621*12,'Rent Roll Detail Input'!M621)</f>
        <v>0</v>
      </c>
      <c r="L617" s="325">
        <f t="shared" si="17"/>
        <v>0</v>
      </c>
    </row>
    <row r="618" spans="11:12">
      <c r="K618" s="328">
        <f>IF(RentTimePeriod="Annual",'Rent Roll Detail Input'!M622*12,'Rent Roll Detail Input'!M622)</f>
        <v>0</v>
      </c>
      <c r="L618" s="325">
        <f t="shared" si="17"/>
        <v>0</v>
      </c>
    </row>
    <row r="619" spans="11:12">
      <c r="K619" s="328">
        <f>IF(RentTimePeriod="Annual",'Rent Roll Detail Input'!M623*12,'Rent Roll Detail Input'!M623)</f>
        <v>0</v>
      </c>
      <c r="L619" s="325">
        <f t="shared" si="17"/>
        <v>0</v>
      </c>
    </row>
    <row r="620" spans="11:12">
      <c r="K620" s="328">
        <f>IF(RentTimePeriod="Annual",'Rent Roll Detail Input'!M624*12,'Rent Roll Detail Input'!M624)</f>
        <v>0</v>
      </c>
      <c r="L620" s="325">
        <f t="shared" si="17"/>
        <v>0</v>
      </c>
    </row>
    <row r="621" spans="11:12">
      <c r="K621" s="328">
        <f>IF(RentTimePeriod="Annual",'Rent Roll Detail Input'!M625*12,'Rent Roll Detail Input'!M625)</f>
        <v>0</v>
      </c>
      <c r="L621" s="325">
        <f t="shared" si="17"/>
        <v>0</v>
      </c>
    </row>
    <row r="622" spans="11:12">
      <c r="K622" s="328">
        <f>IF(RentTimePeriod="Annual",'Rent Roll Detail Input'!M626*12,'Rent Roll Detail Input'!M626)</f>
        <v>0</v>
      </c>
      <c r="L622" s="325">
        <f t="shared" si="17"/>
        <v>0</v>
      </c>
    </row>
    <row r="623" spans="11:12">
      <c r="K623" s="328">
        <f>IF(RentTimePeriod="Annual",'Rent Roll Detail Input'!M627*12,'Rent Roll Detail Input'!M627)</f>
        <v>0</v>
      </c>
      <c r="L623" s="325">
        <f t="shared" si="17"/>
        <v>0</v>
      </c>
    </row>
    <row r="624" spans="11:12">
      <c r="K624" s="328">
        <f>IF(RentTimePeriod="Annual",'Rent Roll Detail Input'!M628*12,'Rent Roll Detail Input'!M628)</f>
        <v>0</v>
      </c>
      <c r="L624" s="325">
        <f t="shared" si="17"/>
        <v>0</v>
      </c>
    </row>
    <row r="625" spans="11:12">
      <c r="K625" s="328">
        <f>IF(RentTimePeriod="Annual",'Rent Roll Detail Input'!M629*12,'Rent Roll Detail Input'!M629)</f>
        <v>0</v>
      </c>
      <c r="L625" s="325">
        <f t="shared" si="17"/>
        <v>0</v>
      </c>
    </row>
    <row r="626" spans="11:12">
      <c r="K626" s="328">
        <f>IF(RentTimePeriod="Annual",'Rent Roll Detail Input'!M630*12,'Rent Roll Detail Input'!M630)</f>
        <v>0</v>
      </c>
      <c r="L626" s="325">
        <f t="shared" si="17"/>
        <v>0</v>
      </c>
    </row>
    <row r="627" spans="11:12">
      <c r="K627" s="328">
        <f>IF(RentTimePeriod="Annual",'Rent Roll Detail Input'!M631*12,'Rent Roll Detail Input'!M631)</f>
        <v>0</v>
      </c>
      <c r="L627" s="325">
        <f t="shared" si="17"/>
        <v>0</v>
      </c>
    </row>
    <row r="628" spans="11:12">
      <c r="K628" s="328">
        <f>IF(RentTimePeriod="Annual",'Rent Roll Detail Input'!M632*12,'Rent Roll Detail Input'!M632)</f>
        <v>0</v>
      </c>
      <c r="L628" s="325">
        <f t="shared" si="17"/>
        <v>0</v>
      </c>
    </row>
    <row r="629" spans="11:12">
      <c r="K629" s="328">
        <f>IF(RentTimePeriod="Annual",'Rent Roll Detail Input'!M633*12,'Rent Roll Detail Input'!M633)</f>
        <v>0</v>
      </c>
      <c r="L629" s="325">
        <f t="shared" si="17"/>
        <v>0</v>
      </c>
    </row>
    <row r="630" spans="11:12">
      <c r="K630" s="328">
        <f>IF(RentTimePeriod="Annual",'Rent Roll Detail Input'!M634*12,'Rent Roll Detail Input'!M634)</f>
        <v>0</v>
      </c>
      <c r="L630" s="325">
        <f t="shared" si="17"/>
        <v>0</v>
      </c>
    </row>
    <row r="631" spans="11:12">
      <c r="K631" s="328">
        <f>IF(RentTimePeriod="Annual",'Rent Roll Detail Input'!M635*12,'Rent Roll Detail Input'!M635)</f>
        <v>0</v>
      </c>
      <c r="L631" s="325">
        <f t="shared" si="17"/>
        <v>0</v>
      </c>
    </row>
    <row r="632" spans="11:12">
      <c r="K632" s="328">
        <f>IF(RentTimePeriod="Annual",'Rent Roll Detail Input'!M636*12,'Rent Roll Detail Input'!M636)</f>
        <v>0</v>
      </c>
      <c r="L632" s="325">
        <f t="shared" si="17"/>
        <v>0</v>
      </c>
    </row>
    <row r="633" spans="11:12">
      <c r="K633" s="328">
        <f>IF(RentTimePeriod="Annual",'Rent Roll Detail Input'!M637*12,'Rent Roll Detail Input'!M637)</f>
        <v>0</v>
      </c>
      <c r="L633" s="325">
        <f t="shared" si="17"/>
        <v>0</v>
      </c>
    </row>
    <row r="634" spans="11:12">
      <c r="K634" s="328">
        <f>IF(RentTimePeriod="Annual",'Rent Roll Detail Input'!M638*12,'Rent Roll Detail Input'!M638)</f>
        <v>0</v>
      </c>
      <c r="L634" s="325">
        <f t="shared" si="17"/>
        <v>0</v>
      </c>
    </row>
    <row r="635" spans="11:12">
      <c r="K635" s="328">
        <f>IF(RentTimePeriod="Annual",'Rent Roll Detail Input'!M639*12,'Rent Roll Detail Input'!M639)</f>
        <v>0</v>
      </c>
      <c r="L635" s="325">
        <f t="shared" si="17"/>
        <v>0</v>
      </c>
    </row>
    <row r="636" spans="11:12">
      <c r="K636" s="328">
        <f>IF(RentTimePeriod="Annual",'Rent Roll Detail Input'!M640*12,'Rent Roll Detail Input'!M640)</f>
        <v>0</v>
      </c>
      <c r="L636" s="325">
        <f t="shared" si="17"/>
        <v>0</v>
      </c>
    </row>
    <row r="637" spans="11:12">
      <c r="K637" s="328">
        <f>IF(RentTimePeriod="Annual",'Rent Roll Detail Input'!M641*12,'Rent Roll Detail Input'!M641)</f>
        <v>0</v>
      </c>
      <c r="L637" s="325">
        <f t="shared" si="17"/>
        <v>0</v>
      </c>
    </row>
    <row r="638" spans="11:12">
      <c r="K638" s="328">
        <f>IF(RentTimePeriod="Annual",'Rent Roll Detail Input'!M642*12,'Rent Roll Detail Input'!M642)</f>
        <v>0</v>
      </c>
      <c r="L638" s="325">
        <f t="shared" si="17"/>
        <v>0</v>
      </c>
    </row>
    <row r="639" spans="11:12">
      <c r="K639" s="328">
        <f>IF(RentTimePeriod="Annual",'Rent Roll Detail Input'!M643*12,'Rent Roll Detail Input'!M643)</f>
        <v>0</v>
      </c>
      <c r="L639" s="325">
        <f t="shared" si="17"/>
        <v>0</v>
      </c>
    </row>
    <row r="640" spans="11:12">
      <c r="K640" s="328">
        <f>IF(RentTimePeriod="Annual",'Rent Roll Detail Input'!M644*12,'Rent Roll Detail Input'!M644)</f>
        <v>0</v>
      </c>
      <c r="L640" s="325">
        <f t="shared" si="17"/>
        <v>0</v>
      </c>
    </row>
    <row r="641" spans="11:12">
      <c r="K641" s="328">
        <f>IF(RentTimePeriod="Annual",'Rent Roll Detail Input'!M645*12,'Rent Roll Detail Input'!M645)</f>
        <v>0</v>
      </c>
      <c r="L641" s="325">
        <f t="shared" si="17"/>
        <v>0</v>
      </c>
    </row>
    <row r="642" spans="11:12">
      <c r="K642" s="328">
        <f>IF(RentTimePeriod="Annual",'Rent Roll Detail Input'!M646*12,'Rent Roll Detail Input'!M646)</f>
        <v>0</v>
      </c>
      <c r="L642" s="325">
        <f t="shared" si="17"/>
        <v>0</v>
      </c>
    </row>
    <row r="643" spans="11:12">
      <c r="K643" s="328">
        <f>IF(RentTimePeriod="Annual",'Rent Roll Detail Input'!M647*12,'Rent Roll Detail Input'!M647)</f>
        <v>0</v>
      </c>
      <c r="L643" s="325">
        <f t="shared" si="17"/>
        <v>0</v>
      </c>
    </row>
    <row r="644" spans="11:12">
      <c r="K644" s="328">
        <f>IF(RentTimePeriod="Annual",'Rent Roll Detail Input'!M648*12,'Rent Roll Detail Input'!M648)</f>
        <v>0</v>
      </c>
      <c r="L644" s="325">
        <f t="shared" si="17"/>
        <v>0</v>
      </c>
    </row>
    <row r="645" spans="11:12">
      <c r="K645" s="328">
        <f>IF(RentTimePeriod="Annual",'Rent Roll Detail Input'!M649*12,'Rent Roll Detail Input'!M649)</f>
        <v>0</v>
      </c>
      <c r="L645" s="325">
        <f t="shared" si="17"/>
        <v>0</v>
      </c>
    </row>
    <row r="646" spans="11:12">
      <c r="K646" s="328">
        <f>IF(RentTimePeriod="Annual",'Rent Roll Detail Input'!M650*12,'Rent Roll Detail Input'!M650)</f>
        <v>0</v>
      </c>
      <c r="L646" s="325">
        <f t="shared" si="17"/>
        <v>0</v>
      </c>
    </row>
    <row r="647" spans="11:12">
      <c r="K647" s="328">
        <f>IF(RentTimePeriod="Annual",'Rent Roll Detail Input'!M651*12,'Rent Roll Detail Input'!M651)</f>
        <v>0</v>
      </c>
      <c r="L647" s="325">
        <f t="shared" si="17"/>
        <v>0</v>
      </c>
    </row>
    <row r="648" spans="11:12">
      <c r="K648" s="328">
        <f>IF(RentTimePeriod="Annual",'Rent Roll Detail Input'!M652*12,'Rent Roll Detail Input'!M652)</f>
        <v>0</v>
      </c>
      <c r="L648" s="325">
        <f t="shared" ref="L648:L711" si="18">IF(D648="N/A","N/A",IFERROR(K648/D648,0))</f>
        <v>0</v>
      </c>
    </row>
    <row r="649" spans="11:12">
      <c r="K649" s="328">
        <f>IF(RentTimePeriod="Annual",'Rent Roll Detail Input'!M653*12,'Rent Roll Detail Input'!M653)</f>
        <v>0</v>
      </c>
      <c r="L649" s="325">
        <f t="shared" si="18"/>
        <v>0</v>
      </c>
    </row>
    <row r="650" spans="11:12">
      <c r="K650" s="328">
        <f>IF(RentTimePeriod="Annual",'Rent Roll Detail Input'!M654*12,'Rent Roll Detail Input'!M654)</f>
        <v>0</v>
      </c>
      <c r="L650" s="325">
        <f t="shared" si="18"/>
        <v>0</v>
      </c>
    </row>
    <row r="651" spans="11:12">
      <c r="K651" s="328">
        <f>IF(RentTimePeriod="Annual",'Rent Roll Detail Input'!M655*12,'Rent Roll Detail Input'!M655)</f>
        <v>0</v>
      </c>
      <c r="L651" s="325">
        <f t="shared" si="18"/>
        <v>0</v>
      </c>
    </row>
    <row r="652" spans="11:12">
      <c r="K652" s="328">
        <f>IF(RentTimePeriod="Annual",'Rent Roll Detail Input'!M656*12,'Rent Roll Detail Input'!M656)</f>
        <v>0</v>
      </c>
      <c r="L652" s="325">
        <f t="shared" si="18"/>
        <v>0</v>
      </c>
    </row>
    <row r="653" spans="11:12">
      <c r="K653" s="328">
        <f>IF(RentTimePeriod="Annual",'Rent Roll Detail Input'!M657*12,'Rent Roll Detail Input'!M657)</f>
        <v>0</v>
      </c>
      <c r="L653" s="325">
        <f t="shared" si="18"/>
        <v>0</v>
      </c>
    </row>
    <row r="654" spans="11:12">
      <c r="K654" s="328">
        <f>IF(RentTimePeriod="Annual",'Rent Roll Detail Input'!M658*12,'Rent Roll Detail Input'!M658)</f>
        <v>0</v>
      </c>
      <c r="L654" s="325">
        <f t="shared" si="18"/>
        <v>0</v>
      </c>
    </row>
    <row r="655" spans="11:12">
      <c r="K655" s="328">
        <f>IF(RentTimePeriod="Annual",'Rent Roll Detail Input'!M659*12,'Rent Roll Detail Input'!M659)</f>
        <v>0</v>
      </c>
      <c r="L655" s="325">
        <f t="shared" si="18"/>
        <v>0</v>
      </c>
    </row>
    <row r="656" spans="11:12">
      <c r="K656" s="328">
        <f>IF(RentTimePeriod="Annual",'Rent Roll Detail Input'!M660*12,'Rent Roll Detail Input'!M660)</f>
        <v>0</v>
      </c>
      <c r="L656" s="325">
        <f t="shared" si="18"/>
        <v>0</v>
      </c>
    </row>
    <row r="657" spans="11:12">
      <c r="K657" s="328">
        <f>IF(RentTimePeriod="Annual",'Rent Roll Detail Input'!M661*12,'Rent Roll Detail Input'!M661)</f>
        <v>0</v>
      </c>
      <c r="L657" s="325">
        <f t="shared" si="18"/>
        <v>0</v>
      </c>
    </row>
    <row r="658" spans="11:12">
      <c r="K658" s="328">
        <f>IF(RentTimePeriod="Annual",'Rent Roll Detail Input'!M662*12,'Rent Roll Detail Input'!M662)</f>
        <v>0</v>
      </c>
      <c r="L658" s="325">
        <f t="shared" si="18"/>
        <v>0</v>
      </c>
    </row>
    <row r="659" spans="11:12">
      <c r="K659" s="328">
        <f>IF(RentTimePeriod="Annual",'Rent Roll Detail Input'!M663*12,'Rent Roll Detail Input'!M663)</f>
        <v>0</v>
      </c>
      <c r="L659" s="325">
        <f t="shared" si="18"/>
        <v>0</v>
      </c>
    </row>
    <row r="660" spans="11:12">
      <c r="K660" s="328">
        <f>IF(RentTimePeriod="Annual",'Rent Roll Detail Input'!M664*12,'Rent Roll Detail Input'!M664)</f>
        <v>0</v>
      </c>
      <c r="L660" s="325">
        <f t="shared" si="18"/>
        <v>0</v>
      </c>
    </row>
    <row r="661" spans="11:12">
      <c r="K661" s="328">
        <f>IF(RentTimePeriod="Annual",'Rent Roll Detail Input'!M665*12,'Rent Roll Detail Input'!M665)</f>
        <v>0</v>
      </c>
      <c r="L661" s="325">
        <f t="shared" si="18"/>
        <v>0</v>
      </c>
    </row>
    <row r="662" spans="11:12">
      <c r="K662" s="328">
        <f>IF(RentTimePeriod="Annual",'Rent Roll Detail Input'!M666*12,'Rent Roll Detail Input'!M666)</f>
        <v>0</v>
      </c>
      <c r="L662" s="325">
        <f t="shared" si="18"/>
        <v>0</v>
      </c>
    </row>
    <row r="663" spans="11:12">
      <c r="K663" s="328">
        <f>IF(RentTimePeriod="Annual",'Rent Roll Detail Input'!M667*12,'Rent Roll Detail Input'!M667)</f>
        <v>0</v>
      </c>
      <c r="L663" s="325">
        <f t="shared" si="18"/>
        <v>0</v>
      </c>
    </row>
    <row r="664" spans="11:12">
      <c r="K664" s="328">
        <f>IF(RentTimePeriod="Annual",'Rent Roll Detail Input'!M668*12,'Rent Roll Detail Input'!M668)</f>
        <v>0</v>
      </c>
      <c r="L664" s="325">
        <f t="shared" si="18"/>
        <v>0</v>
      </c>
    </row>
    <row r="665" spans="11:12">
      <c r="K665" s="328">
        <f>IF(RentTimePeriod="Annual",'Rent Roll Detail Input'!M669*12,'Rent Roll Detail Input'!M669)</f>
        <v>0</v>
      </c>
      <c r="L665" s="325">
        <f t="shared" si="18"/>
        <v>0</v>
      </c>
    </row>
    <row r="666" spans="11:12">
      <c r="K666" s="328">
        <f>IF(RentTimePeriod="Annual",'Rent Roll Detail Input'!M670*12,'Rent Roll Detail Input'!M670)</f>
        <v>0</v>
      </c>
      <c r="L666" s="325">
        <f t="shared" si="18"/>
        <v>0</v>
      </c>
    </row>
    <row r="667" spans="11:12">
      <c r="K667" s="328">
        <f>IF(RentTimePeriod="Annual",'Rent Roll Detail Input'!M671*12,'Rent Roll Detail Input'!M671)</f>
        <v>0</v>
      </c>
      <c r="L667" s="325">
        <f t="shared" si="18"/>
        <v>0</v>
      </c>
    </row>
    <row r="668" spans="11:12">
      <c r="K668" s="328">
        <f>IF(RentTimePeriod="Annual",'Rent Roll Detail Input'!M672*12,'Rent Roll Detail Input'!M672)</f>
        <v>0</v>
      </c>
      <c r="L668" s="325">
        <f t="shared" si="18"/>
        <v>0</v>
      </c>
    </row>
    <row r="669" spans="11:12">
      <c r="K669" s="328">
        <f>IF(RentTimePeriod="Annual",'Rent Roll Detail Input'!M673*12,'Rent Roll Detail Input'!M673)</f>
        <v>0</v>
      </c>
      <c r="L669" s="325">
        <f t="shared" si="18"/>
        <v>0</v>
      </c>
    </row>
    <row r="670" spans="11:12">
      <c r="K670" s="328">
        <f>IF(RentTimePeriod="Annual",'Rent Roll Detail Input'!M674*12,'Rent Roll Detail Input'!M674)</f>
        <v>0</v>
      </c>
      <c r="L670" s="325">
        <f t="shared" si="18"/>
        <v>0</v>
      </c>
    </row>
    <row r="671" spans="11:12">
      <c r="K671" s="328">
        <f>IF(RentTimePeriod="Annual",'Rent Roll Detail Input'!M675*12,'Rent Roll Detail Input'!M675)</f>
        <v>0</v>
      </c>
      <c r="L671" s="325">
        <f t="shared" si="18"/>
        <v>0</v>
      </c>
    </row>
    <row r="672" spans="11:12">
      <c r="K672" s="328">
        <f>IF(RentTimePeriod="Annual",'Rent Roll Detail Input'!M676*12,'Rent Roll Detail Input'!M676)</f>
        <v>0</v>
      </c>
      <c r="L672" s="325">
        <f t="shared" si="18"/>
        <v>0</v>
      </c>
    </row>
    <row r="673" spans="11:12">
      <c r="K673" s="328">
        <f>IF(RentTimePeriod="Annual",'Rent Roll Detail Input'!M677*12,'Rent Roll Detail Input'!M677)</f>
        <v>0</v>
      </c>
      <c r="L673" s="325">
        <f t="shared" si="18"/>
        <v>0</v>
      </c>
    </row>
    <row r="674" spans="11:12">
      <c r="K674" s="328">
        <f>IF(RentTimePeriod="Annual",'Rent Roll Detail Input'!M678*12,'Rent Roll Detail Input'!M678)</f>
        <v>0</v>
      </c>
      <c r="L674" s="325">
        <f t="shared" si="18"/>
        <v>0</v>
      </c>
    </row>
    <row r="675" spans="11:12">
      <c r="K675" s="328">
        <f>IF(RentTimePeriod="Annual",'Rent Roll Detail Input'!M679*12,'Rent Roll Detail Input'!M679)</f>
        <v>0</v>
      </c>
      <c r="L675" s="325">
        <f t="shared" si="18"/>
        <v>0</v>
      </c>
    </row>
    <row r="676" spans="11:12">
      <c r="K676" s="328">
        <f>IF(RentTimePeriod="Annual",'Rent Roll Detail Input'!M680*12,'Rent Roll Detail Input'!M680)</f>
        <v>0</v>
      </c>
      <c r="L676" s="325">
        <f t="shared" si="18"/>
        <v>0</v>
      </c>
    </row>
    <row r="677" spans="11:12">
      <c r="K677" s="328">
        <f>IF(RentTimePeriod="Annual",'Rent Roll Detail Input'!M681*12,'Rent Roll Detail Input'!M681)</f>
        <v>0</v>
      </c>
      <c r="L677" s="325">
        <f t="shared" si="18"/>
        <v>0</v>
      </c>
    </row>
    <row r="678" spans="11:12">
      <c r="K678" s="328">
        <f>IF(RentTimePeriod="Annual",'Rent Roll Detail Input'!M682*12,'Rent Roll Detail Input'!M682)</f>
        <v>0</v>
      </c>
      <c r="L678" s="325">
        <f t="shared" si="18"/>
        <v>0</v>
      </c>
    </row>
    <row r="679" spans="11:12">
      <c r="K679" s="328">
        <f>IF(RentTimePeriod="Annual",'Rent Roll Detail Input'!M683*12,'Rent Roll Detail Input'!M683)</f>
        <v>0</v>
      </c>
      <c r="L679" s="325">
        <f t="shared" si="18"/>
        <v>0</v>
      </c>
    </row>
    <row r="680" spans="11:12">
      <c r="K680" s="328">
        <f>IF(RentTimePeriod="Annual",'Rent Roll Detail Input'!M684*12,'Rent Roll Detail Input'!M684)</f>
        <v>0</v>
      </c>
      <c r="L680" s="325">
        <f t="shared" si="18"/>
        <v>0</v>
      </c>
    </row>
    <row r="681" spans="11:12">
      <c r="K681" s="328">
        <f>IF(RentTimePeriod="Annual",'Rent Roll Detail Input'!M685*12,'Rent Roll Detail Input'!M685)</f>
        <v>0</v>
      </c>
      <c r="L681" s="325">
        <f t="shared" si="18"/>
        <v>0</v>
      </c>
    </row>
    <row r="682" spans="11:12">
      <c r="K682" s="328">
        <f>IF(RentTimePeriod="Annual",'Rent Roll Detail Input'!M686*12,'Rent Roll Detail Input'!M686)</f>
        <v>0</v>
      </c>
      <c r="L682" s="325">
        <f t="shared" si="18"/>
        <v>0</v>
      </c>
    </row>
    <row r="683" spans="11:12">
      <c r="K683" s="328">
        <f>IF(RentTimePeriod="Annual",'Rent Roll Detail Input'!M687*12,'Rent Roll Detail Input'!M687)</f>
        <v>0</v>
      </c>
      <c r="L683" s="325">
        <f t="shared" si="18"/>
        <v>0</v>
      </c>
    </row>
    <row r="684" spans="11:12">
      <c r="K684" s="328">
        <f>IF(RentTimePeriod="Annual",'Rent Roll Detail Input'!M688*12,'Rent Roll Detail Input'!M688)</f>
        <v>0</v>
      </c>
      <c r="L684" s="325">
        <f t="shared" si="18"/>
        <v>0</v>
      </c>
    </row>
    <row r="685" spans="11:12">
      <c r="K685" s="328">
        <f>IF(RentTimePeriod="Annual",'Rent Roll Detail Input'!M689*12,'Rent Roll Detail Input'!M689)</f>
        <v>0</v>
      </c>
      <c r="L685" s="325">
        <f t="shared" si="18"/>
        <v>0</v>
      </c>
    </row>
    <row r="686" spans="11:12">
      <c r="K686" s="328">
        <f>IF(RentTimePeriod="Annual",'Rent Roll Detail Input'!M690*12,'Rent Roll Detail Input'!M690)</f>
        <v>0</v>
      </c>
      <c r="L686" s="325">
        <f t="shared" si="18"/>
        <v>0</v>
      </c>
    </row>
    <row r="687" spans="11:12">
      <c r="K687" s="328">
        <f>IF(RentTimePeriod="Annual",'Rent Roll Detail Input'!M691*12,'Rent Roll Detail Input'!M691)</f>
        <v>0</v>
      </c>
      <c r="L687" s="325">
        <f t="shared" si="18"/>
        <v>0</v>
      </c>
    </row>
    <row r="688" spans="11:12">
      <c r="K688" s="328">
        <f>IF(RentTimePeriod="Annual",'Rent Roll Detail Input'!M692*12,'Rent Roll Detail Input'!M692)</f>
        <v>0</v>
      </c>
      <c r="L688" s="325">
        <f t="shared" si="18"/>
        <v>0</v>
      </c>
    </row>
    <row r="689" spans="11:12">
      <c r="K689" s="328">
        <f>IF(RentTimePeriod="Annual",'Rent Roll Detail Input'!M693*12,'Rent Roll Detail Input'!M693)</f>
        <v>0</v>
      </c>
      <c r="L689" s="325">
        <f t="shared" si="18"/>
        <v>0</v>
      </c>
    </row>
    <row r="690" spans="11:12">
      <c r="K690" s="328">
        <f>IF(RentTimePeriod="Annual",'Rent Roll Detail Input'!M694*12,'Rent Roll Detail Input'!M694)</f>
        <v>0</v>
      </c>
      <c r="L690" s="325">
        <f t="shared" si="18"/>
        <v>0</v>
      </c>
    </row>
    <row r="691" spans="11:12">
      <c r="K691" s="328">
        <f>IF(RentTimePeriod="Annual",'Rent Roll Detail Input'!M695*12,'Rent Roll Detail Input'!M695)</f>
        <v>0</v>
      </c>
      <c r="L691" s="325">
        <f t="shared" si="18"/>
        <v>0</v>
      </c>
    </row>
    <row r="692" spans="11:12">
      <c r="K692" s="328">
        <f>IF(RentTimePeriod="Annual",'Rent Roll Detail Input'!M696*12,'Rent Roll Detail Input'!M696)</f>
        <v>0</v>
      </c>
      <c r="L692" s="325">
        <f t="shared" si="18"/>
        <v>0</v>
      </c>
    </row>
    <row r="693" spans="11:12">
      <c r="K693" s="328">
        <f>IF(RentTimePeriod="Annual",'Rent Roll Detail Input'!M697*12,'Rent Roll Detail Input'!M697)</f>
        <v>0</v>
      </c>
      <c r="L693" s="325">
        <f t="shared" si="18"/>
        <v>0</v>
      </c>
    </row>
    <row r="694" spans="11:12">
      <c r="K694" s="328">
        <f>IF(RentTimePeriod="Annual",'Rent Roll Detail Input'!M698*12,'Rent Roll Detail Input'!M698)</f>
        <v>0</v>
      </c>
      <c r="L694" s="325">
        <f t="shared" si="18"/>
        <v>0</v>
      </c>
    </row>
    <row r="695" spans="11:12">
      <c r="K695" s="328">
        <f>IF(RentTimePeriod="Annual",'Rent Roll Detail Input'!M699*12,'Rent Roll Detail Input'!M699)</f>
        <v>0</v>
      </c>
      <c r="L695" s="325">
        <f t="shared" si="18"/>
        <v>0</v>
      </c>
    </row>
    <row r="696" spans="11:12">
      <c r="K696" s="328">
        <f>IF(RentTimePeriod="Annual",'Rent Roll Detail Input'!M700*12,'Rent Roll Detail Input'!M700)</f>
        <v>0</v>
      </c>
      <c r="L696" s="325">
        <f t="shared" si="18"/>
        <v>0</v>
      </c>
    </row>
    <row r="697" spans="11:12">
      <c r="K697" s="328">
        <f>IF(RentTimePeriod="Annual",'Rent Roll Detail Input'!M701*12,'Rent Roll Detail Input'!M701)</f>
        <v>0</v>
      </c>
      <c r="L697" s="325">
        <f t="shared" si="18"/>
        <v>0</v>
      </c>
    </row>
    <row r="698" spans="11:12">
      <c r="K698" s="328">
        <f>IF(RentTimePeriod="Annual",'Rent Roll Detail Input'!M702*12,'Rent Roll Detail Input'!M702)</f>
        <v>0</v>
      </c>
      <c r="L698" s="325">
        <f t="shared" si="18"/>
        <v>0</v>
      </c>
    </row>
    <row r="699" spans="11:12">
      <c r="K699" s="328">
        <f>IF(RentTimePeriod="Annual",'Rent Roll Detail Input'!M703*12,'Rent Roll Detail Input'!M703)</f>
        <v>0</v>
      </c>
      <c r="L699" s="325">
        <f t="shared" si="18"/>
        <v>0</v>
      </c>
    </row>
    <row r="700" spans="11:12">
      <c r="K700" s="328">
        <f>IF(RentTimePeriod="Annual",'Rent Roll Detail Input'!M704*12,'Rent Roll Detail Input'!M704)</f>
        <v>0</v>
      </c>
      <c r="L700" s="325">
        <f t="shared" si="18"/>
        <v>0</v>
      </c>
    </row>
    <row r="701" spans="11:12">
      <c r="K701" s="328">
        <f>IF(RentTimePeriod="Annual",'Rent Roll Detail Input'!M705*12,'Rent Roll Detail Input'!M705)</f>
        <v>0</v>
      </c>
      <c r="L701" s="325">
        <f t="shared" si="18"/>
        <v>0</v>
      </c>
    </row>
    <row r="702" spans="11:12">
      <c r="K702" s="328">
        <f>IF(RentTimePeriod="Annual",'Rent Roll Detail Input'!M706*12,'Rent Roll Detail Input'!M706)</f>
        <v>0</v>
      </c>
      <c r="L702" s="325">
        <f t="shared" si="18"/>
        <v>0</v>
      </c>
    </row>
    <row r="703" spans="11:12">
      <c r="K703" s="328">
        <f>IF(RentTimePeriod="Annual",'Rent Roll Detail Input'!M707*12,'Rent Roll Detail Input'!M707)</f>
        <v>0</v>
      </c>
      <c r="L703" s="325">
        <f t="shared" si="18"/>
        <v>0</v>
      </c>
    </row>
    <row r="704" spans="11:12">
      <c r="K704" s="328">
        <f>IF(RentTimePeriod="Annual",'Rent Roll Detail Input'!M708*12,'Rent Roll Detail Input'!M708)</f>
        <v>0</v>
      </c>
      <c r="L704" s="325">
        <f t="shared" si="18"/>
        <v>0</v>
      </c>
    </row>
    <row r="705" spans="11:12">
      <c r="K705" s="328">
        <f>IF(RentTimePeriod="Annual",'Rent Roll Detail Input'!M709*12,'Rent Roll Detail Input'!M709)</f>
        <v>0</v>
      </c>
      <c r="L705" s="325">
        <f t="shared" si="18"/>
        <v>0</v>
      </c>
    </row>
    <row r="706" spans="11:12">
      <c r="K706" s="328">
        <f>IF(RentTimePeriod="Annual",'Rent Roll Detail Input'!M710*12,'Rent Roll Detail Input'!M710)</f>
        <v>0</v>
      </c>
      <c r="L706" s="325">
        <f t="shared" si="18"/>
        <v>0</v>
      </c>
    </row>
    <row r="707" spans="11:12">
      <c r="K707" s="328">
        <f>IF(RentTimePeriod="Annual",'Rent Roll Detail Input'!M711*12,'Rent Roll Detail Input'!M711)</f>
        <v>0</v>
      </c>
      <c r="L707" s="325">
        <f t="shared" si="18"/>
        <v>0</v>
      </c>
    </row>
    <row r="708" spans="11:12">
      <c r="K708" s="328">
        <f>IF(RentTimePeriod="Annual",'Rent Roll Detail Input'!M712*12,'Rent Roll Detail Input'!M712)</f>
        <v>0</v>
      </c>
      <c r="L708" s="325">
        <f t="shared" si="18"/>
        <v>0</v>
      </c>
    </row>
    <row r="709" spans="11:12">
      <c r="K709" s="328">
        <f>IF(RentTimePeriod="Annual",'Rent Roll Detail Input'!M713*12,'Rent Roll Detail Input'!M713)</f>
        <v>0</v>
      </c>
      <c r="L709" s="325">
        <f t="shared" si="18"/>
        <v>0</v>
      </c>
    </row>
    <row r="710" spans="11:12">
      <c r="K710" s="328">
        <f>IF(RentTimePeriod="Annual",'Rent Roll Detail Input'!M714*12,'Rent Roll Detail Input'!M714)</f>
        <v>0</v>
      </c>
      <c r="L710" s="325">
        <f t="shared" si="18"/>
        <v>0</v>
      </c>
    </row>
    <row r="711" spans="11:12">
      <c r="K711" s="328">
        <f>IF(RentTimePeriod="Annual",'Rent Roll Detail Input'!M715*12,'Rent Roll Detail Input'!M715)</f>
        <v>0</v>
      </c>
      <c r="L711" s="325">
        <f t="shared" si="18"/>
        <v>0</v>
      </c>
    </row>
    <row r="712" spans="11:12">
      <c r="K712" s="328">
        <f>IF(RentTimePeriod="Annual",'Rent Roll Detail Input'!M716*12,'Rent Roll Detail Input'!M716)</f>
        <v>0</v>
      </c>
      <c r="L712" s="325">
        <f t="shared" ref="L712:L775" si="19">IF(D712="N/A","N/A",IFERROR(K712/D712,0))</f>
        <v>0</v>
      </c>
    </row>
    <row r="713" spans="11:12">
      <c r="K713" s="328">
        <f>IF(RentTimePeriod="Annual",'Rent Roll Detail Input'!M717*12,'Rent Roll Detail Input'!M717)</f>
        <v>0</v>
      </c>
      <c r="L713" s="325">
        <f t="shared" si="19"/>
        <v>0</v>
      </c>
    </row>
    <row r="714" spans="11:12">
      <c r="K714" s="328">
        <f>IF(RentTimePeriod="Annual",'Rent Roll Detail Input'!M718*12,'Rent Roll Detail Input'!M718)</f>
        <v>0</v>
      </c>
      <c r="L714" s="325">
        <f t="shared" si="19"/>
        <v>0</v>
      </c>
    </row>
    <row r="715" spans="11:12">
      <c r="K715" s="328">
        <f>IF(RentTimePeriod="Annual",'Rent Roll Detail Input'!M719*12,'Rent Roll Detail Input'!M719)</f>
        <v>0</v>
      </c>
      <c r="L715" s="325">
        <f t="shared" si="19"/>
        <v>0</v>
      </c>
    </row>
    <row r="716" spans="11:12">
      <c r="K716" s="328">
        <f>IF(RentTimePeriod="Annual",'Rent Roll Detail Input'!M720*12,'Rent Roll Detail Input'!M720)</f>
        <v>0</v>
      </c>
      <c r="L716" s="325">
        <f t="shared" si="19"/>
        <v>0</v>
      </c>
    </row>
    <row r="717" spans="11:12">
      <c r="K717" s="328">
        <f>IF(RentTimePeriod="Annual",'Rent Roll Detail Input'!M721*12,'Rent Roll Detail Input'!M721)</f>
        <v>0</v>
      </c>
      <c r="L717" s="325">
        <f t="shared" si="19"/>
        <v>0</v>
      </c>
    </row>
    <row r="718" spans="11:12">
      <c r="K718" s="328">
        <f>IF(RentTimePeriod="Annual",'Rent Roll Detail Input'!M722*12,'Rent Roll Detail Input'!M722)</f>
        <v>0</v>
      </c>
      <c r="L718" s="325">
        <f t="shared" si="19"/>
        <v>0</v>
      </c>
    </row>
    <row r="719" spans="11:12">
      <c r="K719" s="328">
        <f>IF(RentTimePeriod="Annual",'Rent Roll Detail Input'!M723*12,'Rent Roll Detail Input'!M723)</f>
        <v>0</v>
      </c>
      <c r="L719" s="325">
        <f t="shared" si="19"/>
        <v>0</v>
      </c>
    </row>
    <row r="720" spans="11:12">
      <c r="K720" s="328">
        <f>IF(RentTimePeriod="Annual",'Rent Roll Detail Input'!M724*12,'Rent Roll Detail Input'!M724)</f>
        <v>0</v>
      </c>
      <c r="L720" s="325">
        <f t="shared" si="19"/>
        <v>0</v>
      </c>
    </row>
    <row r="721" spans="11:12">
      <c r="K721" s="328">
        <f>IF(RentTimePeriod="Annual",'Rent Roll Detail Input'!M725*12,'Rent Roll Detail Input'!M725)</f>
        <v>0</v>
      </c>
      <c r="L721" s="325">
        <f t="shared" si="19"/>
        <v>0</v>
      </c>
    </row>
    <row r="722" spans="11:12">
      <c r="K722" s="328">
        <f>IF(RentTimePeriod="Annual",'Rent Roll Detail Input'!M726*12,'Rent Roll Detail Input'!M726)</f>
        <v>0</v>
      </c>
      <c r="L722" s="325">
        <f t="shared" si="19"/>
        <v>0</v>
      </c>
    </row>
    <row r="723" spans="11:12">
      <c r="K723" s="328">
        <f>IF(RentTimePeriod="Annual",'Rent Roll Detail Input'!M727*12,'Rent Roll Detail Input'!M727)</f>
        <v>0</v>
      </c>
      <c r="L723" s="325">
        <f t="shared" si="19"/>
        <v>0</v>
      </c>
    </row>
    <row r="724" spans="11:12">
      <c r="K724" s="328">
        <f>IF(RentTimePeriod="Annual",'Rent Roll Detail Input'!M728*12,'Rent Roll Detail Input'!M728)</f>
        <v>0</v>
      </c>
      <c r="L724" s="325">
        <f t="shared" si="19"/>
        <v>0</v>
      </c>
    </row>
    <row r="725" spans="11:12">
      <c r="K725" s="328">
        <f>IF(RentTimePeriod="Annual",'Rent Roll Detail Input'!M729*12,'Rent Roll Detail Input'!M729)</f>
        <v>0</v>
      </c>
      <c r="L725" s="325">
        <f t="shared" si="19"/>
        <v>0</v>
      </c>
    </row>
    <row r="726" spans="11:12">
      <c r="K726" s="328">
        <f>IF(RentTimePeriod="Annual",'Rent Roll Detail Input'!M730*12,'Rent Roll Detail Input'!M730)</f>
        <v>0</v>
      </c>
      <c r="L726" s="325">
        <f t="shared" si="19"/>
        <v>0</v>
      </c>
    </row>
    <row r="727" spans="11:12">
      <c r="K727" s="328">
        <f>IF(RentTimePeriod="Annual",'Rent Roll Detail Input'!M731*12,'Rent Roll Detail Input'!M731)</f>
        <v>0</v>
      </c>
      <c r="L727" s="325">
        <f t="shared" si="19"/>
        <v>0</v>
      </c>
    </row>
    <row r="728" spans="11:12">
      <c r="K728" s="328">
        <f>IF(RentTimePeriod="Annual",'Rent Roll Detail Input'!M732*12,'Rent Roll Detail Input'!M732)</f>
        <v>0</v>
      </c>
      <c r="L728" s="325">
        <f t="shared" si="19"/>
        <v>0</v>
      </c>
    </row>
    <row r="729" spans="11:12">
      <c r="K729" s="328">
        <f>IF(RentTimePeriod="Annual",'Rent Roll Detail Input'!M733*12,'Rent Roll Detail Input'!M733)</f>
        <v>0</v>
      </c>
      <c r="L729" s="325">
        <f t="shared" si="19"/>
        <v>0</v>
      </c>
    </row>
    <row r="730" spans="11:12">
      <c r="K730" s="328">
        <f>IF(RentTimePeriod="Annual",'Rent Roll Detail Input'!M734*12,'Rent Roll Detail Input'!M734)</f>
        <v>0</v>
      </c>
      <c r="L730" s="325">
        <f t="shared" si="19"/>
        <v>0</v>
      </c>
    </row>
    <row r="731" spans="11:12">
      <c r="K731" s="328">
        <f>IF(RentTimePeriod="Annual",'Rent Roll Detail Input'!M735*12,'Rent Roll Detail Input'!M735)</f>
        <v>0</v>
      </c>
      <c r="L731" s="325">
        <f t="shared" si="19"/>
        <v>0</v>
      </c>
    </row>
    <row r="732" spans="11:12">
      <c r="K732" s="328">
        <f>IF(RentTimePeriod="Annual",'Rent Roll Detail Input'!M736*12,'Rent Roll Detail Input'!M736)</f>
        <v>0</v>
      </c>
      <c r="L732" s="325">
        <f t="shared" si="19"/>
        <v>0</v>
      </c>
    </row>
    <row r="733" spans="11:12">
      <c r="K733" s="328">
        <f>IF(RentTimePeriod="Annual",'Rent Roll Detail Input'!M737*12,'Rent Roll Detail Input'!M737)</f>
        <v>0</v>
      </c>
      <c r="L733" s="325">
        <f t="shared" si="19"/>
        <v>0</v>
      </c>
    </row>
    <row r="734" spans="11:12">
      <c r="K734" s="328">
        <f>IF(RentTimePeriod="Annual",'Rent Roll Detail Input'!M738*12,'Rent Roll Detail Input'!M738)</f>
        <v>0</v>
      </c>
      <c r="L734" s="325">
        <f t="shared" si="19"/>
        <v>0</v>
      </c>
    </row>
    <row r="735" spans="11:12">
      <c r="K735" s="328">
        <f>IF(RentTimePeriod="Annual",'Rent Roll Detail Input'!M739*12,'Rent Roll Detail Input'!M739)</f>
        <v>0</v>
      </c>
      <c r="L735" s="325">
        <f t="shared" si="19"/>
        <v>0</v>
      </c>
    </row>
    <row r="736" spans="11:12">
      <c r="K736" s="328">
        <f>IF(RentTimePeriod="Annual",'Rent Roll Detail Input'!M740*12,'Rent Roll Detail Input'!M740)</f>
        <v>0</v>
      </c>
      <c r="L736" s="325">
        <f t="shared" si="19"/>
        <v>0</v>
      </c>
    </row>
    <row r="737" spans="11:12">
      <c r="K737" s="328">
        <f>IF(RentTimePeriod="Annual",'Rent Roll Detail Input'!M741*12,'Rent Roll Detail Input'!M741)</f>
        <v>0</v>
      </c>
      <c r="L737" s="325">
        <f t="shared" si="19"/>
        <v>0</v>
      </c>
    </row>
    <row r="738" spans="11:12">
      <c r="K738" s="328">
        <f>IF(RentTimePeriod="Annual",'Rent Roll Detail Input'!M742*12,'Rent Roll Detail Input'!M742)</f>
        <v>0</v>
      </c>
      <c r="L738" s="325">
        <f t="shared" si="19"/>
        <v>0</v>
      </c>
    </row>
    <row r="739" spans="11:12">
      <c r="K739" s="328">
        <f>IF(RentTimePeriod="Annual",'Rent Roll Detail Input'!M743*12,'Rent Roll Detail Input'!M743)</f>
        <v>0</v>
      </c>
      <c r="L739" s="325">
        <f t="shared" si="19"/>
        <v>0</v>
      </c>
    </row>
    <row r="740" spans="11:12">
      <c r="K740" s="328">
        <f>IF(RentTimePeriod="Annual",'Rent Roll Detail Input'!M744*12,'Rent Roll Detail Input'!M744)</f>
        <v>0</v>
      </c>
      <c r="L740" s="325">
        <f t="shared" si="19"/>
        <v>0</v>
      </c>
    </row>
    <row r="741" spans="11:12">
      <c r="K741" s="328">
        <f>IF(RentTimePeriod="Annual",'Rent Roll Detail Input'!M745*12,'Rent Roll Detail Input'!M745)</f>
        <v>0</v>
      </c>
      <c r="L741" s="325">
        <f t="shared" si="19"/>
        <v>0</v>
      </c>
    </row>
    <row r="742" spans="11:12">
      <c r="K742" s="328">
        <f>IF(RentTimePeriod="Annual",'Rent Roll Detail Input'!M746*12,'Rent Roll Detail Input'!M746)</f>
        <v>0</v>
      </c>
      <c r="L742" s="325">
        <f t="shared" si="19"/>
        <v>0</v>
      </c>
    </row>
    <row r="743" spans="11:12">
      <c r="K743" s="328">
        <f>IF(RentTimePeriod="Annual",'Rent Roll Detail Input'!M747*12,'Rent Roll Detail Input'!M747)</f>
        <v>0</v>
      </c>
      <c r="L743" s="325">
        <f t="shared" si="19"/>
        <v>0</v>
      </c>
    </row>
    <row r="744" spans="11:12">
      <c r="K744" s="328">
        <f>IF(RentTimePeriod="Annual",'Rent Roll Detail Input'!M748*12,'Rent Roll Detail Input'!M748)</f>
        <v>0</v>
      </c>
      <c r="L744" s="325">
        <f t="shared" si="19"/>
        <v>0</v>
      </c>
    </row>
    <row r="745" spans="11:12">
      <c r="K745" s="328">
        <f>IF(RentTimePeriod="Annual",'Rent Roll Detail Input'!M749*12,'Rent Roll Detail Input'!M749)</f>
        <v>0</v>
      </c>
      <c r="L745" s="325">
        <f t="shared" si="19"/>
        <v>0</v>
      </c>
    </row>
    <row r="746" spans="11:12">
      <c r="K746" s="328">
        <f>IF(RentTimePeriod="Annual",'Rent Roll Detail Input'!M750*12,'Rent Roll Detail Input'!M750)</f>
        <v>0</v>
      </c>
      <c r="L746" s="325">
        <f t="shared" si="19"/>
        <v>0</v>
      </c>
    </row>
    <row r="747" spans="11:12">
      <c r="K747" s="328">
        <f>IF(RentTimePeriod="Annual",'Rent Roll Detail Input'!M751*12,'Rent Roll Detail Input'!M751)</f>
        <v>0</v>
      </c>
      <c r="L747" s="325">
        <f t="shared" si="19"/>
        <v>0</v>
      </c>
    </row>
    <row r="748" spans="11:12">
      <c r="K748" s="328">
        <f>IF(RentTimePeriod="Annual",'Rent Roll Detail Input'!M752*12,'Rent Roll Detail Input'!M752)</f>
        <v>0</v>
      </c>
      <c r="L748" s="325">
        <f t="shared" si="19"/>
        <v>0</v>
      </c>
    </row>
    <row r="749" spans="11:12">
      <c r="K749" s="328">
        <f>IF(RentTimePeriod="Annual",'Rent Roll Detail Input'!M753*12,'Rent Roll Detail Input'!M753)</f>
        <v>0</v>
      </c>
      <c r="L749" s="325">
        <f t="shared" si="19"/>
        <v>0</v>
      </c>
    </row>
    <row r="750" spans="11:12">
      <c r="K750" s="328">
        <f>IF(RentTimePeriod="Annual",'Rent Roll Detail Input'!M754*12,'Rent Roll Detail Input'!M754)</f>
        <v>0</v>
      </c>
      <c r="L750" s="325">
        <f t="shared" si="19"/>
        <v>0</v>
      </c>
    </row>
    <row r="751" spans="11:12">
      <c r="K751" s="328">
        <f>IF(RentTimePeriod="Annual",'Rent Roll Detail Input'!M755*12,'Rent Roll Detail Input'!M755)</f>
        <v>0</v>
      </c>
      <c r="L751" s="325">
        <f t="shared" si="19"/>
        <v>0</v>
      </c>
    </row>
    <row r="752" spans="11:12">
      <c r="K752" s="328">
        <f>IF(RentTimePeriod="Annual",'Rent Roll Detail Input'!M756*12,'Rent Roll Detail Input'!M756)</f>
        <v>0</v>
      </c>
      <c r="L752" s="325">
        <f t="shared" si="19"/>
        <v>0</v>
      </c>
    </row>
    <row r="753" spans="11:12">
      <c r="K753" s="328">
        <f>IF(RentTimePeriod="Annual",'Rent Roll Detail Input'!M757*12,'Rent Roll Detail Input'!M757)</f>
        <v>0</v>
      </c>
      <c r="L753" s="325">
        <f t="shared" si="19"/>
        <v>0</v>
      </c>
    </row>
    <row r="754" spans="11:12">
      <c r="K754" s="328">
        <f>IF(RentTimePeriod="Annual",'Rent Roll Detail Input'!M758*12,'Rent Roll Detail Input'!M758)</f>
        <v>0</v>
      </c>
      <c r="L754" s="325">
        <f t="shared" si="19"/>
        <v>0</v>
      </c>
    </row>
    <row r="755" spans="11:12">
      <c r="K755" s="328">
        <f>IF(RentTimePeriod="Annual",'Rent Roll Detail Input'!M759*12,'Rent Roll Detail Input'!M759)</f>
        <v>0</v>
      </c>
      <c r="L755" s="325">
        <f t="shared" si="19"/>
        <v>0</v>
      </c>
    </row>
    <row r="756" spans="11:12">
      <c r="K756" s="328">
        <f>IF(RentTimePeriod="Annual",'Rent Roll Detail Input'!M760*12,'Rent Roll Detail Input'!M760)</f>
        <v>0</v>
      </c>
      <c r="L756" s="325">
        <f t="shared" si="19"/>
        <v>0</v>
      </c>
    </row>
    <row r="757" spans="11:12">
      <c r="K757" s="328">
        <f>IF(RentTimePeriod="Annual",'Rent Roll Detail Input'!M761*12,'Rent Roll Detail Input'!M761)</f>
        <v>0</v>
      </c>
      <c r="L757" s="325">
        <f t="shared" si="19"/>
        <v>0</v>
      </c>
    </row>
    <row r="758" spans="11:12">
      <c r="K758" s="328">
        <f>IF(RentTimePeriod="Annual",'Rent Roll Detail Input'!M762*12,'Rent Roll Detail Input'!M762)</f>
        <v>0</v>
      </c>
      <c r="L758" s="325">
        <f t="shared" si="19"/>
        <v>0</v>
      </c>
    </row>
    <row r="759" spans="11:12">
      <c r="K759" s="328">
        <f>IF(RentTimePeriod="Annual",'Rent Roll Detail Input'!M763*12,'Rent Roll Detail Input'!M763)</f>
        <v>0</v>
      </c>
      <c r="L759" s="325">
        <f t="shared" si="19"/>
        <v>0</v>
      </c>
    </row>
    <row r="760" spans="11:12">
      <c r="K760" s="328">
        <f>IF(RentTimePeriod="Annual",'Rent Roll Detail Input'!M764*12,'Rent Roll Detail Input'!M764)</f>
        <v>0</v>
      </c>
      <c r="L760" s="325">
        <f t="shared" si="19"/>
        <v>0</v>
      </c>
    </row>
    <row r="761" spans="11:12">
      <c r="K761" s="328">
        <f>IF(RentTimePeriod="Annual",'Rent Roll Detail Input'!M765*12,'Rent Roll Detail Input'!M765)</f>
        <v>0</v>
      </c>
      <c r="L761" s="325">
        <f t="shared" si="19"/>
        <v>0</v>
      </c>
    </row>
    <row r="762" spans="11:12">
      <c r="K762" s="328">
        <f>IF(RentTimePeriod="Annual",'Rent Roll Detail Input'!M766*12,'Rent Roll Detail Input'!M766)</f>
        <v>0</v>
      </c>
      <c r="L762" s="325">
        <f t="shared" si="19"/>
        <v>0</v>
      </c>
    </row>
    <row r="763" spans="11:12">
      <c r="K763" s="328">
        <f>IF(RentTimePeriod="Annual",'Rent Roll Detail Input'!M767*12,'Rent Roll Detail Input'!M767)</f>
        <v>0</v>
      </c>
      <c r="L763" s="325">
        <f t="shared" si="19"/>
        <v>0</v>
      </c>
    </row>
    <row r="764" spans="11:12">
      <c r="K764" s="328">
        <f>IF(RentTimePeriod="Annual",'Rent Roll Detail Input'!M768*12,'Rent Roll Detail Input'!M768)</f>
        <v>0</v>
      </c>
      <c r="L764" s="325">
        <f t="shared" si="19"/>
        <v>0</v>
      </c>
    </row>
    <row r="765" spans="11:12">
      <c r="K765" s="328">
        <f>IF(RentTimePeriod="Annual",'Rent Roll Detail Input'!M769*12,'Rent Roll Detail Input'!M769)</f>
        <v>0</v>
      </c>
      <c r="L765" s="325">
        <f t="shared" si="19"/>
        <v>0</v>
      </c>
    </row>
    <row r="766" spans="11:12">
      <c r="K766" s="328">
        <f>IF(RentTimePeriod="Annual",'Rent Roll Detail Input'!M770*12,'Rent Roll Detail Input'!M770)</f>
        <v>0</v>
      </c>
      <c r="L766" s="325">
        <f t="shared" si="19"/>
        <v>0</v>
      </c>
    </row>
    <row r="767" spans="11:12">
      <c r="K767" s="328">
        <f>IF(RentTimePeriod="Annual",'Rent Roll Detail Input'!M771*12,'Rent Roll Detail Input'!M771)</f>
        <v>0</v>
      </c>
      <c r="L767" s="325">
        <f t="shared" si="19"/>
        <v>0</v>
      </c>
    </row>
    <row r="768" spans="11:12">
      <c r="K768" s="328">
        <f>IF(RentTimePeriod="Annual",'Rent Roll Detail Input'!M772*12,'Rent Roll Detail Input'!M772)</f>
        <v>0</v>
      </c>
      <c r="L768" s="325">
        <f t="shared" si="19"/>
        <v>0</v>
      </c>
    </row>
    <row r="769" spans="11:12">
      <c r="K769" s="328">
        <f>IF(RentTimePeriod="Annual",'Rent Roll Detail Input'!M773*12,'Rent Roll Detail Input'!M773)</f>
        <v>0</v>
      </c>
      <c r="L769" s="325">
        <f t="shared" si="19"/>
        <v>0</v>
      </c>
    </row>
    <row r="770" spans="11:12">
      <c r="K770" s="328">
        <f>IF(RentTimePeriod="Annual",'Rent Roll Detail Input'!M774*12,'Rent Roll Detail Input'!M774)</f>
        <v>0</v>
      </c>
      <c r="L770" s="325">
        <f t="shared" si="19"/>
        <v>0</v>
      </c>
    </row>
    <row r="771" spans="11:12">
      <c r="K771" s="328">
        <f>IF(RentTimePeriod="Annual",'Rent Roll Detail Input'!M775*12,'Rent Roll Detail Input'!M775)</f>
        <v>0</v>
      </c>
      <c r="L771" s="325">
        <f t="shared" si="19"/>
        <v>0</v>
      </c>
    </row>
    <row r="772" spans="11:12">
      <c r="K772" s="328">
        <f>IF(RentTimePeriod="Annual",'Rent Roll Detail Input'!M776*12,'Rent Roll Detail Input'!M776)</f>
        <v>0</v>
      </c>
      <c r="L772" s="325">
        <f t="shared" si="19"/>
        <v>0</v>
      </c>
    </row>
    <row r="773" spans="11:12">
      <c r="K773" s="328">
        <f>IF(RentTimePeriod="Annual",'Rent Roll Detail Input'!M777*12,'Rent Roll Detail Input'!M777)</f>
        <v>0</v>
      </c>
      <c r="L773" s="325">
        <f t="shared" si="19"/>
        <v>0</v>
      </c>
    </row>
    <row r="774" spans="11:12">
      <c r="K774" s="328">
        <f>IF(RentTimePeriod="Annual",'Rent Roll Detail Input'!M778*12,'Rent Roll Detail Input'!M778)</f>
        <v>0</v>
      </c>
      <c r="L774" s="325">
        <f t="shared" si="19"/>
        <v>0</v>
      </c>
    </row>
    <row r="775" spans="11:12">
      <c r="K775" s="328">
        <f>IF(RentTimePeriod="Annual",'Rent Roll Detail Input'!M779*12,'Rent Roll Detail Input'!M779)</f>
        <v>0</v>
      </c>
      <c r="L775" s="325">
        <f t="shared" si="19"/>
        <v>0</v>
      </c>
    </row>
    <row r="776" spans="11:12">
      <c r="K776" s="328">
        <f>IF(RentTimePeriod="Annual",'Rent Roll Detail Input'!M780*12,'Rent Roll Detail Input'!M780)</f>
        <v>0</v>
      </c>
      <c r="L776" s="325">
        <f t="shared" ref="L776:L807" si="20">IF(D776="N/A","N/A",IFERROR(K776/D776,0))</f>
        <v>0</v>
      </c>
    </row>
    <row r="777" spans="11:12">
      <c r="K777" s="328">
        <f>IF(RentTimePeriod="Annual",'Rent Roll Detail Input'!M781*12,'Rent Roll Detail Input'!M781)</f>
        <v>0</v>
      </c>
      <c r="L777" s="325">
        <f t="shared" si="20"/>
        <v>0</v>
      </c>
    </row>
    <row r="778" spans="11:12">
      <c r="K778" s="328">
        <f>IF(RentTimePeriod="Annual",'Rent Roll Detail Input'!M782*12,'Rent Roll Detail Input'!M782)</f>
        <v>0</v>
      </c>
      <c r="L778" s="325">
        <f t="shared" si="20"/>
        <v>0</v>
      </c>
    </row>
    <row r="779" spans="11:12">
      <c r="K779" s="328">
        <f>IF(RentTimePeriod="Annual",'Rent Roll Detail Input'!M783*12,'Rent Roll Detail Input'!M783)</f>
        <v>0</v>
      </c>
      <c r="L779" s="325">
        <f t="shared" si="20"/>
        <v>0</v>
      </c>
    </row>
    <row r="780" spans="11:12">
      <c r="K780" s="328">
        <f>IF(RentTimePeriod="Annual",'Rent Roll Detail Input'!M784*12,'Rent Roll Detail Input'!M784)</f>
        <v>0</v>
      </c>
      <c r="L780" s="325">
        <f t="shared" si="20"/>
        <v>0</v>
      </c>
    </row>
    <row r="781" spans="11:12">
      <c r="K781" s="328">
        <f>IF(RentTimePeriod="Annual",'Rent Roll Detail Input'!M785*12,'Rent Roll Detail Input'!M785)</f>
        <v>0</v>
      </c>
      <c r="L781" s="325">
        <f t="shared" si="20"/>
        <v>0</v>
      </c>
    </row>
    <row r="782" spans="11:12">
      <c r="K782" s="328">
        <f>IF(RentTimePeriod="Annual",'Rent Roll Detail Input'!M786*12,'Rent Roll Detail Input'!M786)</f>
        <v>0</v>
      </c>
      <c r="L782" s="325">
        <f t="shared" si="20"/>
        <v>0</v>
      </c>
    </row>
    <row r="783" spans="11:12">
      <c r="K783" s="328">
        <f>IF(RentTimePeriod="Annual",'Rent Roll Detail Input'!M787*12,'Rent Roll Detail Input'!M787)</f>
        <v>0</v>
      </c>
      <c r="L783" s="325">
        <f t="shared" si="20"/>
        <v>0</v>
      </c>
    </row>
    <row r="784" spans="11:12">
      <c r="K784" s="328">
        <f>IF(RentTimePeriod="Annual",'Rent Roll Detail Input'!M788*12,'Rent Roll Detail Input'!M788)</f>
        <v>0</v>
      </c>
      <c r="L784" s="325">
        <f t="shared" si="20"/>
        <v>0</v>
      </c>
    </row>
    <row r="785" spans="11:12">
      <c r="K785" s="328">
        <f>IF(RentTimePeriod="Annual",'Rent Roll Detail Input'!M789*12,'Rent Roll Detail Input'!M789)</f>
        <v>0</v>
      </c>
      <c r="L785" s="325">
        <f t="shared" si="20"/>
        <v>0</v>
      </c>
    </row>
    <row r="786" spans="11:12">
      <c r="K786" s="328">
        <f>IF(RentTimePeriod="Annual",'Rent Roll Detail Input'!M790*12,'Rent Roll Detail Input'!M790)</f>
        <v>0</v>
      </c>
      <c r="L786" s="325">
        <f t="shared" si="20"/>
        <v>0</v>
      </c>
    </row>
    <row r="787" spans="11:12">
      <c r="K787" s="328">
        <f>IF(RentTimePeriod="Annual",'Rent Roll Detail Input'!M791*12,'Rent Roll Detail Input'!M791)</f>
        <v>0</v>
      </c>
      <c r="L787" s="325">
        <f t="shared" si="20"/>
        <v>0</v>
      </c>
    </row>
    <row r="788" spans="11:12">
      <c r="K788" s="328">
        <f>IF(RentTimePeriod="Annual",'Rent Roll Detail Input'!M792*12,'Rent Roll Detail Input'!M792)</f>
        <v>0</v>
      </c>
      <c r="L788" s="325">
        <f t="shared" si="20"/>
        <v>0</v>
      </c>
    </row>
    <row r="789" spans="11:12">
      <c r="K789" s="328">
        <f>IF(RentTimePeriod="Annual",'Rent Roll Detail Input'!M793*12,'Rent Roll Detail Input'!M793)</f>
        <v>0</v>
      </c>
      <c r="L789" s="325">
        <f t="shared" si="20"/>
        <v>0</v>
      </c>
    </row>
    <row r="790" spans="11:12">
      <c r="K790" s="328">
        <f>IF(RentTimePeriod="Annual",'Rent Roll Detail Input'!M794*12,'Rent Roll Detail Input'!M794)</f>
        <v>0</v>
      </c>
      <c r="L790" s="325">
        <f t="shared" si="20"/>
        <v>0</v>
      </c>
    </row>
    <row r="791" spans="11:12">
      <c r="K791" s="328">
        <f>IF(RentTimePeriod="Annual",'Rent Roll Detail Input'!M795*12,'Rent Roll Detail Input'!M795)</f>
        <v>0</v>
      </c>
      <c r="L791" s="325">
        <f t="shared" si="20"/>
        <v>0</v>
      </c>
    </row>
    <row r="792" spans="11:12">
      <c r="K792" s="328">
        <f>IF(RentTimePeriod="Annual",'Rent Roll Detail Input'!M796*12,'Rent Roll Detail Input'!M796)</f>
        <v>0</v>
      </c>
      <c r="L792" s="325">
        <f t="shared" si="20"/>
        <v>0</v>
      </c>
    </row>
    <row r="793" spans="11:12">
      <c r="K793" s="328">
        <f>IF(RentTimePeriod="Annual",'Rent Roll Detail Input'!M797*12,'Rent Roll Detail Input'!M797)</f>
        <v>0</v>
      </c>
      <c r="L793" s="325">
        <f t="shared" si="20"/>
        <v>0</v>
      </c>
    </row>
    <row r="794" spans="11:12">
      <c r="K794" s="328">
        <f>IF(RentTimePeriod="Annual",'Rent Roll Detail Input'!M798*12,'Rent Roll Detail Input'!M798)</f>
        <v>0</v>
      </c>
      <c r="L794" s="325">
        <f t="shared" si="20"/>
        <v>0</v>
      </c>
    </row>
    <row r="795" spans="11:12">
      <c r="K795" s="328">
        <f>IF(RentTimePeriod="Annual",'Rent Roll Detail Input'!M799*12,'Rent Roll Detail Input'!M799)</f>
        <v>0</v>
      </c>
      <c r="L795" s="325">
        <f t="shared" si="20"/>
        <v>0</v>
      </c>
    </row>
    <row r="796" spans="11:12">
      <c r="K796" s="328">
        <f>IF(RentTimePeriod="Annual",'Rent Roll Detail Input'!M800*12,'Rent Roll Detail Input'!M800)</f>
        <v>0</v>
      </c>
      <c r="L796" s="325">
        <f t="shared" si="20"/>
        <v>0</v>
      </c>
    </row>
    <row r="797" spans="11:12">
      <c r="K797" s="328">
        <f>IF(RentTimePeriod="Annual",'Rent Roll Detail Input'!M801*12,'Rent Roll Detail Input'!M801)</f>
        <v>0</v>
      </c>
      <c r="L797" s="325">
        <f t="shared" si="20"/>
        <v>0</v>
      </c>
    </row>
    <row r="798" spans="11:12">
      <c r="K798" s="328">
        <f>IF(RentTimePeriod="Annual",'Rent Roll Detail Input'!M802*12,'Rent Roll Detail Input'!M802)</f>
        <v>0</v>
      </c>
      <c r="L798" s="325">
        <f t="shared" si="20"/>
        <v>0</v>
      </c>
    </row>
    <row r="799" spans="11:12">
      <c r="K799" s="328">
        <f>IF(RentTimePeriod="Annual",'Rent Roll Detail Input'!M803*12,'Rent Roll Detail Input'!M803)</f>
        <v>0</v>
      </c>
      <c r="L799" s="325">
        <f t="shared" si="20"/>
        <v>0</v>
      </c>
    </row>
    <row r="800" spans="11:12">
      <c r="K800" s="328">
        <f>IF(RentTimePeriod="Annual",'Rent Roll Detail Input'!M804*12,'Rent Roll Detail Input'!M804)</f>
        <v>0</v>
      </c>
      <c r="L800" s="325">
        <f t="shared" si="20"/>
        <v>0</v>
      </c>
    </row>
    <row r="801" spans="11:12">
      <c r="K801" s="328">
        <f>IF(RentTimePeriod="Annual",'Rent Roll Detail Input'!M805*12,'Rent Roll Detail Input'!M805)</f>
        <v>0</v>
      </c>
      <c r="L801" s="325">
        <f t="shared" si="20"/>
        <v>0</v>
      </c>
    </row>
    <row r="802" spans="11:12">
      <c r="K802" s="328">
        <f>IF(RentTimePeriod="Annual",'Rent Roll Detail Input'!M806*12,'Rent Roll Detail Input'!M806)</f>
        <v>0</v>
      </c>
      <c r="L802" s="325">
        <f t="shared" si="20"/>
        <v>0</v>
      </c>
    </row>
    <row r="803" spans="11:12">
      <c r="K803" s="328">
        <f>IF(RentTimePeriod="Annual",'Rent Roll Detail Input'!M807*12,'Rent Roll Detail Input'!M807)</f>
        <v>0</v>
      </c>
      <c r="L803" s="325">
        <f t="shared" si="20"/>
        <v>0</v>
      </c>
    </row>
    <row r="804" spans="11:12">
      <c r="K804" s="328">
        <f>IF(RentTimePeriod="Annual",'Rent Roll Detail Input'!M808*12,'Rent Roll Detail Input'!M808)</f>
        <v>0</v>
      </c>
      <c r="L804" s="325">
        <f t="shared" si="20"/>
        <v>0</v>
      </c>
    </row>
    <row r="805" spans="11:12">
      <c r="K805" s="328">
        <f>IF(RentTimePeriod="Annual",'Rent Roll Detail Input'!M809*12,'Rent Roll Detail Input'!M809)</f>
        <v>0</v>
      </c>
      <c r="L805" s="325">
        <f t="shared" si="20"/>
        <v>0</v>
      </c>
    </row>
    <row r="806" spans="11:12">
      <c r="K806" s="328">
        <f>IF(RentTimePeriod="Annual",'Rent Roll Detail Input'!M810*12,'Rent Roll Detail Input'!M810)</f>
        <v>0</v>
      </c>
      <c r="L806" s="325">
        <f t="shared" si="20"/>
        <v>0</v>
      </c>
    </row>
    <row r="807" spans="11:12">
      <c r="K807" s="328">
        <f>IF(RentTimePeriod="Annual",'Rent Roll Detail Input'!M811*12,'Rent Roll Detail Input'!M811)</f>
        <v>0</v>
      </c>
      <c r="L807" s="325">
        <f t="shared" si="20"/>
        <v>0</v>
      </c>
    </row>
    <row r="808" spans="11:12">
      <c r="K808" s="328">
        <f>SUM(K8:K807)</f>
        <v>0</v>
      </c>
      <c r="L808" s="325">
        <f>IFERROR(K808/RRD_SF,0)</f>
        <v>0</v>
      </c>
    </row>
    <row r="809" spans="11:12">
      <c r="K809" s="328">
        <f>IF(RentTimePeriod="Annual",'Rent Roll Detail Input'!M813*12,'Rent Roll Detail Input'!M813)</f>
        <v>0</v>
      </c>
      <c r="L809" s="325">
        <f t="shared" ref="L809:L839" si="21">IF(D809="N/A","N/A",IFERROR(K809/D809,0))</f>
        <v>0</v>
      </c>
    </row>
    <row r="810" spans="11:12">
      <c r="K810" s="328">
        <f>IF(RentTimePeriod="Annual",'Rent Roll Detail Input'!M814*12,'Rent Roll Detail Input'!M814)</f>
        <v>0</v>
      </c>
      <c r="L810" s="325">
        <f t="shared" si="21"/>
        <v>0</v>
      </c>
    </row>
    <row r="811" spans="11:12">
      <c r="K811" s="328">
        <f>IF(RentTimePeriod="Annual",'Rent Roll Detail Input'!M815*12,'Rent Roll Detail Input'!M815)</f>
        <v>0</v>
      </c>
      <c r="L811" s="325">
        <f t="shared" si="21"/>
        <v>0</v>
      </c>
    </row>
    <row r="812" spans="11:12">
      <c r="K812" s="328">
        <f>IF(RentTimePeriod="Annual",'Rent Roll Detail Input'!M816*12,'Rent Roll Detail Input'!M816)</f>
        <v>0</v>
      </c>
      <c r="L812" s="325">
        <f t="shared" si="21"/>
        <v>0</v>
      </c>
    </row>
    <row r="813" spans="11:12">
      <c r="K813" s="328">
        <f>IF(RentTimePeriod="Annual",'Rent Roll Detail Input'!M817*12,'Rent Roll Detail Input'!M817)</f>
        <v>0</v>
      </c>
      <c r="L813" s="325">
        <f t="shared" si="21"/>
        <v>0</v>
      </c>
    </row>
    <row r="814" spans="11:12">
      <c r="K814" s="328">
        <f>IF(RentTimePeriod="Annual",'Rent Roll Detail Input'!M818*12,'Rent Roll Detail Input'!M818)</f>
        <v>0</v>
      </c>
      <c r="L814" s="325">
        <f t="shared" si="21"/>
        <v>0</v>
      </c>
    </row>
    <row r="815" spans="11:12">
      <c r="K815" s="328">
        <f>IF(RentTimePeriod="Annual",'Rent Roll Detail Input'!M819*12,'Rent Roll Detail Input'!M819)</f>
        <v>0</v>
      </c>
      <c r="L815" s="325">
        <f t="shared" si="21"/>
        <v>0</v>
      </c>
    </row>
    <row r="816" spans="11:12">
      <c r="K816" s="328">
        <f>IF(RentTimePeriod="Annual",'Rent Roll Detail Input'!M820*12,'Rent Roll Detail Input'!M820)</f>
        <v>0</v>
      </c>
      <c r="L816" s="325">
        <f t="shared" si="21"/>
        <v>0</v>
      </c>
    </row>
    <row r="817" spans="11:12">
      <c r="K817" s="328">
        <f>IF(RentTimePeriod="Annual",'Rent Roll Detail Input'!M821*12,'Rent Roll Detail Input'!M821)</f>
        <v>0</v>
      </c>
      <c r="L817" s="325">
        <f t="shared" si="21"/>
        <v>0</v>
      </c>
    </row>
    <row r="818" spans="11:12">
      <c r="K818" s="328">
        <f>IF(RentTimePeriod="Annual",'Rent Roll Detail Input'!M822*12,'Rent Roll Detail Input'!M822)</f>
        <v>0</v>
      </c>
      <c r="L818" s="325">
        <f t="shared" si="21"/>
        <v>0</v>
      </c>
    </row>
    <row r="819" spans="11:12">
      <c r="K819" s="328">
        <f>IF(RentTimePeriod="Annual",'Rent Roll Detail Input'!M823*12,'Rent Roll Detail Input'!M823)</f>
        <v>0</v>
      </c>
      <c r="L819" s="325">
        <f t="shared" si="21"/>
        <v>0</v>
      </c>
    </row>
    <row r="820" spans="11:12">
      <c r="K820" s="328">
        <f>IF(RentTimePeriod="Annual",'Rent Roll Detail Input'!M824*12,'Rent Roll Detail Input'!M824)</f>
        <v>0</v>
      </c>
      <c r="L820" s="325">
        <f t="shared" si="21"/>
        <v>0</v>
      </c>
    </row>
    <row r="821" spans="11:12">
      <c r="K821" s="328">
        <f>IF(RentTimePeriod="Annual",'Rent Roll Detail Input'!M825*12,'Rent Roll Detail Input'!M825)</f>
        <v>0</v>
      </c>
      <c r="L821" s="325">
        <f t="shared" si="21"/>
        <v>0</v>
      </c>
    </row>
    <row r="822" spans="11:12">
      <c r="K822" s="328">
        <f>IF(RentTimePeriod="Annual",'Rent Roll Detail Input'!M826*12,'Rent Roll Detail Input'!M826)</f>
        <v>0</v>
      </c>
      <c r="L822" s="325">
        <f t="shared" si="21"/>
        <v>0</v>
      </c>
    </row>
    <row r="823" spans="11:12">
      <c r="K823" s="328">
        <f>IF(RentTimePeriod="Annual",'Rent Roll Detail Input'!M827*12,'Rent Roll Detail Input'!M827)</f>
        <v>0</v>
      </c>
      <c r="L823" s="325">
        <f t="shared" si="21"/>
        <v>0</v>
      </c>
    </row>
    <row r="824" spans="11:12">
      <c r="K824" s="328">
        <f>IF(RentTimePeriod="Annual",'Rent Roll Detail Input'!M828*12,'Rent Roll Detail Input'!M828)</f>
        <v>0</v>
      </c>
      <c r="L824" s="325">
        <f t="shared" si="21"/>
        <v>0</v>
      </c>
    </row>
    <row r="825" spans="11:12">
      <c r="K825" s="328">
        <f>IF(RentTimePeriod="Annual",'Rent Roll Detail Input'!M829*12,'Rent Roll Detail Input'!M829)</f>
        <v>0</v>
      </c>
      <c r="L825" s="325">
        <f t="shared" si="21"/>
        <v>0</v>
      </c>
    </row>
    <row r="826" spans="11:12">
      <c r="K826" s="328">
        <f>IF(RentTimePeriod="Annual",'Rent Roll Detail Input'!M830*12,'Rent Roll Detail Input'!M830)</f>
        <v>0</v>
      </c>
      <c r="L826" s="325">
        <f t="shared" si="21"/>
        <v>0</v>
      </c>
    </row>
    <row r="827" spans="11:12">
      <c r="K827" s="328">
        <f>IF(RentTimePeriod="Annual",'Rent Roll Detail Input'!M831*12,'Rent Roll Detail Input'!M831)</f>
        <v>0</v>
      </c>
      <c r="L827" s="325">
        <f t="shared" si="21"/>
        <v>0</v>
      </c>
    </row>
    <row r="828" spans="11:12">
      <c r="K828" s="328">
        <f>IF(RentTimePeriod="Annual",'Rent Roll Detail Input'!M832*12,'Rent Roll Detail Input'!M832)</f>
        <v>0</v>
      </c>
      <c r="L828" s="325">
        <f t="shared" si="21"/>
        <v>0</v>
      </c>
    </row>
    <row r="829" spans="11:12">
      <c r="K829" s="328">
        <f>IF(RentTimePeriod="Annual",'Rent Roll Detail Input'!M833*12,'Rent Roll Detail Input'!M833)</f>
        <v>0</v>
      </c>
      <c r="L829" s="325">
        <f t="shared" si="21"/>
        <v>0</v>
      </c>
    </row>
    <row r="830" spans="11:12">
      <c r="K830" s="328">
        <f>IF(RentTimePeriod="Annual",'Rent Roll Detail Input'!M834*12,'Rent Roll Detail Input'!M834)</f>
        <v>0</v>
      </c>
      <c r="L830" s="325">
        <f t="shared" si="21"/>
        <v>0</v>
      </c>
    </row>
    <row r="831" spans="11:12">
      <c r="K831" s="328">
        <f>IF(RentTimePeriod="Annual",'Rent Roll Detail Input'!M835*12,'Rent Roll Detail Input'!M835)</f>
        <v>0</v>
      </c>
      <c r="L831" s="325">
        <f t="shared" si="21"/>
        <v>0</v>
      </c>
    </row>
    <row r="832" spans="11:12">
      <c r="K832" s="328">
        <f>IF(RentTimePeriod="Annual",'Rent Roll Detail Input'!M836*12,'Rent Roll Detail Input'!M836)</f>
        <v>0</v>
      </c>
      <c r="L832" s="325">
        <f t="shared" si="21"/>
        <v>0</v>
      </c>
    </row>
    <row r="833" spans="11:12">
      <c r="K833" s="328">
        <f>IF(RentTimePeriod="Annual",'Rent Roll Detail Input'!M837*12,'Rent Roll Detail Input'!M837)</f>
        <v>0</v>
      </c>
      <c r="L833" s="325">
        <f t="shared" si="21"/>
        <v>0</v>
      </c>
    </row>
    <row r="834" spans="11:12">
      <c r="K834" s="328">
        <f>IF(RentTimePeriod="Annual",'Rent Roll Detail Input'!M838*12,'Rent Roll Detail Input'!M838)</f>
        <v>0</v>
      </c>
      <c r="L834" s="325">
        <f t="shared" si="21"/>
        <v>0</v>
      </c>
    </row>
    <row r="835" spans="11:12">
      <c r="K835" s="328">
        <f>IF(RentTimePeriod="Annual",'Rent Roll Detail Input'!M839*12,'Rent Roll Detail Input'!M839)</f>
        <v>0</v>
      </c>
      <c r="L835" s="325">
        <f t="shared" si="21"/>
        <v>0</v>
      </c>
    </row>
    <row r="836" spans="11:12">
      <c r="K836" s="328">
        <f>IF(RentTimePeriod="Annual",'Rent Roll Detail Input'!M840*12,'Rent Roll Detail Input'!M840)</f>
        <v>0</v>
      </c>
      <c r="L836" s="325">
        <f t="shared" si="21"/>
        <v>0</v>
      </c>
    </row>
    <row r="837" spans="11:12">
      <c r="K837" s="328">
        <f>IF(RentTimePeriod="Annual",'Rent Roll Detail Input'!M841*12,'Rent Roll Detail Input'!M841)</f>
        <v>0</v>
      </c>
      <c r="L837" s="325">
        <f t="shared" si="21"/>
        <v>0</v>
      </c>
    </row>
    <row r="838" spans="11:12">
      <c r="K838" s="328">
        <f>IF(RentTimePeriod="Annual",'Rent Roll Detail Input'!M842*12,'Rent Roll Detail Input'!M842)</f>
        <v>0</v>
      </c>
      <c r="L838" s="325">
        <f t="shared" si="21"/>
        <v>0</v>
      </c>
    </row>
    <row r="839" spans="11:12">
      <c r="K839" s="328">
        <f>IF(RentTimePeriod="Annual",'Rent Roll Detail Input'!M843*12,'Rent Roll Detail Input'!M843)</f>
        <v>0</v>
      </c>
      <c r="L839" s="325">
        <f t="shared" si="21"/>
        <v>0</v>
      </c>
    </row>
    <row r="840" spans="11:12">
      <c r="K840" s="328">
        <f>IF(RentTimePeriod="Annual",'Rent Roll Detail Input'!M844*12,'Rent Roll Detail Input'!M844)</f>
        <v>0</v>
      </c>
      <c r="L840" s="325">
        <f t="shared" ref="L840:L903" si="22">IF(D840="N/A","N/A",IFERROR(K840/D840,0))</f>
        <v>0</v>
      </c>
    </row>
    <row r="841" spans="11:12">
      <c r="K841" s="328">
        <f>IF(RentTimePeriod="Annual",'Rent Roll Detail Input'!M845*12,'Rent Roll Detail Input'!M845)</f>
        <v>0</v>
      </c>
      <c r="L841" s="325">
        <f t="shared" si="22"/>
        <v>0</v>
      </c>
    </row>
    <row r="842" spans="11:12">
      <c r="K842" s="328">
        <f>IF(RentTimePeriod="Annual",'Rent Roll Detail Input'!M846*12,'Rent Roll Detail Input'!M846)</f>
        <v>0</v>
      </c>
      <c r="L842" s="325">
        <f t="shared" si="22"/>
        <v>0</v>
      </c>
    </row>
    <row r="843" spans="11:12">
      <c r="K843" s="328">
        <f>IF(RentTimePeriod="Annual",'Rent Roll Detail Input'!M847*12,'Rent Roll Detail Input'!M847)</f>
        <v>0</v>
      </c>
      <c r="L843" s="325">
        <f t="shared" si="22"/>
        <v>0</v>
      </c>
    </row>
    <row r="844" spans="11:12">
      <c r="K844" s="328">
        <f>IF(RentTimePeriod="Annual",'Rent Roll Detail Input'!M848*12,'Rent Roll Detail Input'!M848)</f>
        <v>0</v>
      </c>
      <c r="L844" s="325">
        <f t="shared" si="22"/>
        <v>0</v>
      </c>
    </row>
    <row r="845" spans="11:12">
      <c r="K845" s="328">
        <f>IF(RentTimePeriod="Annual",'Rent Roll Detail Input'!M849*12,'Rent Roll Detail Input'!M849)</f>
        <v>0</v>
      </c>
      <c r="L845" s="325">
        <f t="shared" si="22"/>
        <v>0</v>
      </c>
    </row>
    <row r="846" spans="11:12">
      <c r="K846" s="328">
        <f>IF(RentTimePeriod="Annual",'Rent Roll Detail Input'!M850*12,'Rent Roll Detail Input'!M850)</f>
        <v>0</v>
      </c>
      <c r="L846" s="325">
        <f t="shared" si="22"/>
        <v>0</v>
      </c>
    </row>
    <row r="847" spans="11:12">
      <c r="K847" s="328">
        <f>IF(RentTimePeriod="Annual",'Rent Roll Detail Input'!M851*12,'Rent Roll Detail Input'!M851)</f>
        <v>0</v>
      </c>
      <c r="L847" s="325">
        <f t="shared" si="22"/>
        <v>0</v>
      </c>
    </row>
    <row r="848" spans="11:12">
      <c r="K848" s="328">
        <f>IF(RentTimePeriod="Annual",'Rent Roll Detail Input'!M852*12,'Rent Roll Detail Input'!M852)</f>
        <v>0</v>
      </c>
      <c r="L848" s="325">
        <f t="shared" si="22"/>
        <v>0</v>
      </c>
    </row>
    <row r="849" spans="11:12">
      <c r="K849" s="328">
        <f>IF(RentTimePeriod="Annual",'Rent Roll Detail Input'!M853*12,'Rent Roll Detail Input'!M853)</f>
        <v>0</v>
      </c>
      <c r="L849" s="325">
        <f t="shared" si="22"/>
        <v>0</v>
      </c>
    </row>
    <row r="850" spans="11:12">
      <c r="K850" s="328">
        <f>IF(RentTimePeriod="Annual",'Rent Roll Detail Input'!M854*12,'Rent Roll Detail Input'!M854)</f>
        <v>0</v>
      </c>
      <c r="L850" s="325">
        <f t="shared" si="22"/>
        <v>0</v>
      </c>
    </row>
    <row r="851" spans="11:12">
      <c r="K851" s="328">
        <f>IF(RentTimePeriod="Annual",'Rent Roll Detail Input'!M855*12,'Rent Roll Detail Input'!M855)</f>
        <v>0</v>
      </c>
      <c r="L851" s="325">
        <f t="shared" si="22"/>
        <v>0</v>
      </c>
    </row>
    <row r="852" spans="11:12">
      <c r="K852" s="328">
        <f>IF(RentTimePeriod="Annual",'Rent Roll Detail Input'!M856*12,'Rent Roll Detail Input'!M856)</f>
        <v>0</v>
      </c>
      <c r="L852" s="325">
        <f t="shared" si="22"/>
        <v>0</v>
      </c>
    </row>
    <row r="853" spans="11:12">
      <c r="K853" s="328">
        <f>IF(RentTimePeriod="Annual",'Rent Roll Detail Input'!M857*12,'Rent Roll Detail Input'!M857)</f>
        <v>0</v>
      </c>
      <c r="L853" s="325">
        <f t="shared" si="22"/>
        <v>0</v>
      </c>
    </row>
    <row r="854" spans="11:12">
      <c r="K854" s="328">
        <f>IF(RentTimePeriod="Annual",'Rent Roll Detail Input'!M858*12,'Rent Roll Detail Input'!M858)</f>
        <v>0</v>
      </c>
      <c r="L854" s="325">
        <f t="shared" si="22"/>
        <v>0</v>
      </c>
    </row>
    <row r="855" spans="11:12">
      <c r="K855" s="328">
        <f>IF(RentTimePeriod="Annual",'Rent Roll Detail Input'!M859*12,'Rent Roll Detail Input'!M859)</f>
        <v>0</v>
      </c>
      <c r="L855" s="325">
        <f t="shared" si="22"/>
        <v>0</v>
      </c>
    </row>
    <row r="856" spans="11:12">
      <c r="K856" s="328">
        <f>IF(RentTimePeriod="Annual",'Rent Roll Detail Input'!M860*12,'Rent Roll Detail Input'!M860)</f>
        <v>0</v>
      </c>
      <c r="L856" s="325">
        <f t="shared" si="22"/>
        <v>0</v>
      </c>
    </row>
    <row r="857" spans="11:12">
      <c r="K857" s="328">
        <f>IF(RentTimePeriod="Annual",'Rent Roll Detail Input'!M861*12,'Rent Roll Detail Input'!M861)</f>
        <v>0</v>
      </c>
      <c r="L857" s="325">
        <f t="shared" si="22"/>
        <v>0</v>
      </c>
    </row>
    <row r="858" spans="11:12">
      <c r="K858" s="328">
        <f>IF(RentTimePeriod="Annual",'Rent Roll Detail Input'!M862*12,'Rent Roll Detail Input'!M862)</f>
        <v>0</v>
      </c>
      <c r="L858" s="325">
        <f t="shared" si="22"/>
        <v>0</v>
      </c>
    </row>
    <row r="859" spans="11:12">
      <c r="K859" s="328">
        <f>IF(RentTimePeriod="Annual",'Rent Roll Detail Input'!M863*12,'Rent Roll Detail Input'!M863)</f>
        <v>0</v>
      </c>
      <c r="L859" s="325">
        <f t="shared" si="22"/>
        <v>0</v>
      </c>
    </row>
    <row r="860" spans="11:12">
      <c r="K860" s="328">
        <f>IF(RentTimePeriod="Annual",'Rent Roll Detail Input'!M864*12,'Rent Roll Detail Input'!M864)</f>
        <v>0</v>
      </c>
      <c r="L860" s="325">
        <f t="shared" si="22"/>
        <v>0</v>
      </c>
    </row>
    <row r="861" spans="11:12">
      <c r="K861" s="328">
        <f>IF(RentTimePeriod="Annual",'Rent Roll Detail Input'!M865*12,'Rent Roll Detail Input'!M865)</f>
        <v>0</v>
      </c>
      <c r="L861" s="325">
        <f t="shared" si="22"/>
        <v>0</v>
      </c>
    </row>
    <row r="862" spans="11:12">
      <c r="K862" s="328">
        <f>IF(RentTimePeriod="Annual",'Rent Roll Detail Input'!M866*12,'Rent Roll Detail Input'!M866)</f>
        <v>0</v>
      </c>
      <c r="L862" s="325">
        <f t="shared" si="22"/>
        <v>0</v>
      </c>
    </row>
    <row r="863" spans="11:12">
      <c r="K863" s="328">
        <f>IF(RentTimePeriod="Annual",'Rent Roll Detail Input'!M867*12,'Rent Roll Detail Input'!M867)</f>
        <v>0</v>
      </c>
      <c r="L863" s="325">
        <f t="shared" si="22"/>
        <v>0</v>
      </c>
    </row>
    <row r="864" spans="11:12">
      <c r="K864" s="328">
        <f>IF(RentTimePeriod="Annual",'Rent Roll Detail Input'!M868*12,'Rent Roll Detail Input'!M868)</f>
        <v>0</v>
      </c>
      <c r="L864" s="325">
        <f t="shared" si="22"/>
        <v>0</v>
      </c>
    </row>
    <row r="865" spans="11:12">
      <c r="K865" s="328">
        <f>IF(RentTimePeriod="Annual",'Rent Roll Detail Input'!M869*12,'Rent Roll Detail Input'!M869)</f>
        <v>0</v>
      </c>
      <c r="L865" s="325">
        <f t="shared" si="22"/>
        <v>0</v>
      </c>
    </row>
    <row r="866" spans="11:12">
      <c r="K866" s="328">
        <f>IF(RentTimePeriod="Annual",'Rent Roll Detail Input'!M870*12,'Rent Roll Detail Input'!M870)</f>
        <v>0</v>
      </c>
      <c r="L866" s="325">
        <f t="shared" si="22"/>
        <v>0</v>
      </c>
    </row>
    <row r="867" spans="11:12">
      <c r="K867" s="328">
        <f>IF(RentTimePeriod="Annual",'Rent Roll Detail Input'!M871*12,'Rent Roll Detail Input'!M871)</f>
        <v>0</v>
      </c>
      <c r="L867" s="325">
        <f t="shared" si="22"/>
        <v>0</v>
      </c>
    </row>
    <row r="868" spans="11:12">
      <c r="K868" s="328">
        <f>IF(RentTimePeriod="Annual",'Rent Roll Detail Input'!M872*12,'Rent Roll Detail Input'!M872)</f>
        <v>0</v>
      </c>
      <c r="L868" s="325">
        <f t="shared" si="22"/>
        <v>0</v>
      </c>
    </row>
    <row r="869" spans="11:12">
      <c r="K869" s="328">
        <f>IF(RentTimePeriod="Annual",'Rent Roll Detail Input'!M873*12,'Rent Roll Detail Input'!M873)</f>
        <v>0</v>
      </c>
      <c r="L869" s="325">
        <f t="shared" si="22"/>
        <v>0</v>
      </c>
    </row>
    <row r="870" spans="11:12">
      <c r="K870" s="328">
        <f>IF(RentTimePeriod="Annual",'Rent Roll Detail Input'!M874*12,'Rent Roll Detail Input'!M874)</f>
        <v>0</v>
      </c>
      <c r="L870" s="325">
        <f t="shared" si="22"/>
        <v>0</v>
      </c>
    </row>
    <row r="871" spans="11:12">
      <c r="K871" s="328">
        <f>IF(RentTimePeriod="Annual",'Rent Roll Detail Input'!M875*12,'Rent Roll Detail Input'!M875)</f>
        <v>0</v>
      </c>
      <c r="L871" s="325">
        <f t="shared" si="22"/>
        <v>0</v>
      </c>
    </row>
    <row r="872" spans="11:12">
      <c r="K872" s="328">
        <f>IF(RentTimePeriod="Annual",'Rent Roll Detail Input'!M876*12,'Rent Roll Detail Input'!M876)</f>
        <v>0</v>
      </c>
      <c r="L872" s="325">
        <f t="shared" si="22"/>
        <v>0</v>
      </c>
    </row>
    <row r="873" spans="11:12">
      <c r="K873" s="328">
        <f>IF(RentTimePeriod="Annual",'Rent Roll Detail Input'!M877*12,'Rent Roll Detail Input'!M877)</f>
        <v>0</v>
      </c>
      <c r="L873" s="325">
        <f t="shared" si="22"/>
        <v>0</v>
      </c>
    </row>
    <row r="874" spans="11:12">
      <c r="K874" s="328">
        <f>IF(RentTimePeriod="Annual",'Rent Roll Detail Input'!M878*12,'Rent Roll Detail Input'!M878)</f>
        <v>0</v>
      </c>
      <c r="L874" s="325">
        <f t="shared" si="22"/>
        <v>0</v>
      </c>
    </row>
    <row r="875" spans="11:12">
      <c r="K875" s="328">
        <f>IF(RentTimePeriod="Annual",'Rent Roll Detail Input'!M879*12,'Rent Roll Detail Input'!M879)</f>
        <v>0</v>
      </c>
      <c r="L875" s="325">
        <f t="shared" si="22"/>
        <v>0</v>
      </c>
    </row>
    <row r="876" spans="11:12">
      <c r="K876" s="328">
        <f>IF(RentTimePeriod="Annual",'Rent Roll Detail Input'!M880*12,'Rent Roll Detail Input'!M880)</f>
        <v>0</v>
      </c>
      <c r="L876" s="325">
        <f t="shared" si="22"/>
        <v>0</v>
      </c>
    </row>
    <row r="877" spans="11:12">
      <c r="K877" s="328">
        <f>IF(RentTimePeriod="Annual",'Rent Roll Detail Input'!M881*12,'Rent Roll Detail Input'!M881)</f>
        <v>0</v>
      </c>
      <c r="L877" s="325">
        <f t="shared" si="22"/>
        <v>0</v>
      </c>
    </row>
    <row r="878" spans="11:12">
      <c r="K878" s="328">
        <f>IF(RentTimePeriod="Annual",'Rent Roll Detail Input'!M882*12,'Rent Roll Detail Input'!M882)</f>
        <v>0</v>
      </c>
      <c r="L878" s="325">
        <f t="shared" si="22"/>
        <v>0</v>
      </c>
    </row>
    <row r="879" spans="11:12">
      <c r="K879" s="328">
        <f>IF(RentTimePeriod="Annual",'Rent Roll Detail Input'!M883*12,'Rent Roll Detail Input'!M883)</f>
        <v>0</v>
      </c>
      <c r="L879" s="325">
        <f t="shared" si="22"/>
        <v>0</v>
      </c>
    </row>
    <row r="880" spans="11:12">
      <c r="K880" s="328">
        <f>IF(RentTimePeriod="Annual",'Rent Roll Detail Input'!M884*12,'Rent Roll Detail Input'!M884)</f>
        <v>0</v>
      </c>
      <c r="L880" s="325">
        <f t="shared" si="22"/>
        <v>0</v>
      </c>
    </row>
    <row r="881" spans="11:12">
      <c r="K881" s="328">
        <f>IF(RentTimePeriod="Annual",'Rent Roll Detail Input'!M885*12,'Rent Roll Detail Input'!M885)</f>
        <v>0</v>
      </c>
      <c r="L881" s="325">
        <f t="shared" si="22"/>
        <v>0</v>
      </c>
    </row>
    <row r="882" spans="11:12">
      <c r="K882" s="328">
        <f>IF(RentTimePeriod="Annual",'Rent Roll Detail Input'!M886*12,'Rent Roll Detail Input'!M886)</f>
        <v>0</v>
      </c>
      <c r="L882" s="325">
        <f t="shared" si="22"/>
        <v>0</v>
      </c>
    </row>
    <row r="883" spans="11:12">
      <c r="K883" s="328">
        <f>IF(RentTimePeriod="Annual",'Rent Roll Detail Input'!M887*12,'Rent Roll Detail Input'!M887)</f>
        <v>0</v>
      </c>
      <c r="L883" s="325">
        <f t="shared" si="22"/>
        <v>0</v>
      </c>
    </row>
    <row r="884" spans="11:12">
      <c r="K884" s="328">
        <f>IF(RentTimePeriod="Annual",'Rent Roll Detail Input'!M888*12,'Rent Roll Detail Input'!M888)</f>
        <v>0</v>
      </c>
      <c r="L884" s="325">
        <f t="shared" si="22"/>
        <v>0</v>
      </c>
    </row>
    <row r="885" spans="11:12">
      <c r="K885" s="328">
        <f>IF(RentTimePeriod="Annual",'Rent Roll Detail Input'!M889*12,'Rent Roll Detail Input'!M889)</f>
        <v>0</v>
      </c>
      <c r="L885" s="325">
        <f t="shared" si="22"/>
        <v>0</v>
      </c>
    </row>
    <row r="886" spans="11:12">
      <c r="K886" s="328">
        <f>IF(RentTimePeriod="Annual",'Rent Roll Detail Input'!M890*12,'Rent Roll Detail Input'!M890)</f>
        <v>0</v>
      </c>
      <c r="L886" s="325">
        <f t="shared" si="22"/>
        <v>0</v>
      </c>
    </row>
    <row r="887" spans="11:12">
      <c r="K887" s="328">
        <f>IF(RentTimePeriod="Annual",'Rent Roll Detail Input'!M891*12,'Rent Roll Detail Input'!M891)</f>
        <v>0</v>
      </c>
      <c r="L887" s="325">
        <f t="shared" si="22"/>
        <v>0</v>
      </c>
    </row>
    <row r="888" spans="11:12">
      <c r="K888" s="328">
        <f>IF(RentTimePeriod="Annual",'Rent Roll Detail Input'!M892*12,'Rent Roll Detail Input'!M892)</f>
        <v>0</v>
      </c>
      <c r="L888" s="325">
        <f t="shared" si="22"/>
        <v>0</v>
      </c>
    </row>
    <row r="889" spans="11:12">
      <c r="K889" s="328">
        <f>IF(RentTimePeriod="Annual",'Rent Roll Detail Input'!M893*12,'Rent Roll Detail Input'!M893)</f>
        <v>0</v>
      </c>
      <c r="L889" s="325">
        <f t="shared" si="22"/>
        <v>0</v>
      </c>
    </row>
    <row r="890" spans="11:12">
      <c r="K890" s="328">
        <f>IF(RentTimePeriod="Annual",'Rent Roll Detail Input'!M894*12,'Rent Roll Detail Input'!M894)</f>
        <v>0</v>
      </c>
      <c r="L890" s="325">
        <f t="shared" si="22"/>
        <v>0</v>
      </c>
    </row>
    <row r="891" spans="11:12">
      <c r="K891" s="328">
        <f>IF(RentTimePeriod="Annual",'Rent Roll Detail Input'!M895*12,'Rent Roll Detail Input'!M895)</f>
        <v>0</v>
      </c>
      <c r="L891" s="325">
        <f t="shared" si="22"/>
        <v>0</v>
      </c>
    </row>
    <row r="892" spans="11:12">
      <c r="K892" s="328">
        <f>IF(RentTimePeriod="Annual",'Rent Roll Detail Input'!M896*12,'Rent Roll Detail Input'!M896)</f>
        <v>0</v>
      </c>
      <c r="L892" s="325">
        <f t="shared" si="22"/>
        <v>0</v>
      </c>
    </row>
    <row r="893" spans="11:12">
      <c r="K893" s="328">
        <f>IF(RentTimePeriod="Annual",'Rent Roll Detail Input'!M897*12,'Rent Roll Detail Input'!M897)</f>
        <v>0</v>
      </c>
      <c r="L893" s="325">
        <f t="shared" si="22"/>
        <v>0</v>
      </c>
    </row>
    <row r="894" spans="11:12">
      <c r="K894" s="328">
        <f>IF(RentTimePeriod="Annual",'Rent Roll Detail Input'!M898*12,'Rent Roll Detail Input'!M898)</f>
        <v>0</v>
      </c>
      <c r="L894" s="325">
        <f t="shared" si="22"/>
        <v>0</v>
      </c>
    </row>
    <row r="895" spans="11:12">
      <c r="K895" s="328">
        <f>IF(RentTimePeriod="Annual",'Rent Roll Detail Input'!M899*12,'Rent Roll Detail Input'!M899)</f>
        <v>0</v>
      </c>
      <c r="L895" s="325">
        <f t="shared" si="22"/>
        <v>0</v>
      </c>
    </row>
    <row r="896" spans="11:12">
      <c r="K896" s="328">
        <f>IF(RentTimePeriod="Annual",'Rent Roll Detail Input'!M900*12,'Rent Roll Detail Input'!M900)</f>
        <v>0</v>
      </c>
      <c r="L896" s="325">
        <f t="shared" si="22"/>
        <v>0</v>
      </c>
    </row>
    <row r="897" spans="11:12">
      <c r="K897" s="328">
        <f>IF(RentTimePeriod="Annual",'Rent Roll Detail Input'!M901*12,'Rent Roll Detail Input'!M901)</f>
        <v>0</v>
      </c>
      <c r="L897" s="325">
        <f t="shared" si="22"/>
        <v>0</v>
      </c>
    </row>
    <row r="898" spans="11:12">
      <c r="K898" s="328">
        <f>IF(RentTimePeriod="Annual",'Rent Roll Detail Input'!M902*12,'Rent Roll Detail Input'!M902)</f>
        <v>0</v>
      </c>
      <c r="L898" s="325">
        <f t="shared" si="22"/>
        <v>0</v>
      </c>
    </row>
    <row r="899" spans="11:12">
      <c r="K899" s="328">
        <f>IF(RentTimePeriod="Annual",'Rent Roll Detail Input'!M903*12,'Rent Roll Detail Input'!M903)</f>
        <v>0</v>
      </c>
      <c r="L899" s="325">
        <f t="shared" si="22"/>
        <v>0</v>
      </c>
    </row>
    <row r="900" spans="11:12">
      <c r="K900" s="328">
        <f>IF(RentTimePeriod="Annual",'Rent Roll Detail Input'!M904*12,'Rent Roll Detail Input'!M904)</f>
        <v>0</v>
      </c>
      <c r="L900" s="325">
        <f t="shared" si="22"/>
        <v>0</v>
      </c>
    </row>
    <row r="901" spans="11:12">
      <c r="K901" s="328">
        <f>IF(RentTimePeriod="Annual",'Rent Roll Detail Input'!M905*12,'Rent Roll Detail Input'!M905)</f>
        <v>0</v>
      </c>
      <c r="L901" s="325">
        <f t="shared" si="22"/>
        <v>0</v>
      </c>
    </row>
    <row r="902" spans="11:12">
      <c r="K902" s="328">
        <f>IF(RentTimePeriod="Annual",'Rent Roll Detail Input'!M906*12,'Rent Roll Detail Input'!M906)</f>
        <v>0</v>
      </c>
      <c r="L902" s="325">
        <f t="shared" si="22"/>
        <v>0</v>
      </c>
    </row>
    <row r="903" spans="11:12">
      <c r="K903" s="328">
        <f>IF(RentTimePeriod="Annual",'Rent Roll Detail Input'!M907*12,'Rent Roll Detail Input'!M907)</f>
        <v>0</v>
      </c>
      <c r="L903" s="325">
        <f t="shared" si="22"/>
        <v>0</v>
      </c>
    </row>
    <row r="904" spans="11:12">
      <c r="K904" s="328">
        <f>IF(RentTimePeriod="Annual",'Rent Roll Detail Input'!M908*12,'Rent Roll Detail Input'!M908)</f>
        <v>0</v>
      </c>
      <c r="L904" s="325">
        <f t="shared" ref="L904:L967" si="23">IF(D904="N/A","N/A",IFERROR(K904/D904,0))</f>
        <v>0</v>
      </c>
    </row>
    <row r="905" spans="11:12">
      <c r="K905" s="328">
        <f>IF(RentTimePeriod="Annual",'Rent Roll Detail Input'!M909*12,'Rent Roll Detail Input'!M909)</f>
        <v>0</v>
      </c>
      <c r="L905" s="325">
        <f t="shared" si="23"/>
        <v>0</v>
      </c>
    </row>
    <row r="906" spans="11:12">
      <c r="K906" s="328">
        <f>IF(RentTimePeriod="Annual",'Rent Roll Detail Input'!M910*12,'Rent Roll Detail Input'!M910)</f>
        <v>0</v>
      </c>
      <c r="L906" s="325">
        <f t="shared" si="23"/>
        <v>0</v>
      </c>
    </row>
    <row r="907" spans="11:12">
      <c r="K907" s="328">
        <f>IF(RentTimePeriod="Annual",'Rent Roll Detail Input'!M911*12,'Rent Roll Detail Input'!M911)</f>
        <v>0</v>
      </c>
      <c r="L907" s="325">
        <f t="shared" si="23"/>
        <v>0</v>
      </c>
    </row>
    <row r="908" spans="11:12">
      <c r="K908" s="328">
        <f>IF(RentTimePeriod="Annual",'Rent Roll Detail Input'!M912*12,'Rent Roll Detail Input'!M912)</f>
        <v>0</v>
      </c>
      <c r="L908" s="325">
        <f t="shared" si="23"/>
        <v>0</v>
      </c>
    </row>
    <row r="909" spans="11:12">
      <c r="K909" s="328">
        <f>IF(RentTimePeriod="Annual",'Rent Roll Detail Input'!M913*12,'Rent Roll Detail Input'!M913)</f>
        <v>0</v>
      </c>
      <c r="L909" s="325">
        <f t="shared" si="23"/>
        <v>0</v>
      </c>
    </row>
    <row r="910" spans="11:12">
      <c r="K910" s="328">
        <f>IF(RentTimePeriod="Annual",'Rent Roll Detail Input'!M914*12,'Rent Roll Detail Input'!M914)</f>
        <v>0</v>
      </c>
      <c r="L910" s="325">
        <f t="shared" si="23"/>
        <v>0</v>
      </c>
    </row>
    <row r="911" spans="11:12">
      <c r="K911" s="328">
        <f>IF(RentTimePeriod="Annual",'Rent Roll Detail Input'!M915*12,'Rent Roll Detail Input'!M915)</f>
        <v>0</v>
      </c>
      <c r="L911" s="325">
        <f t="shared" si="23"/>
        <v>0</v>
      </c>
    </row>
    <row r="912" spans="11:12">
      <c r="K912" s="328">
        <f>IF(RentTimePeriod="Annual",'Rent Roll Detail Input'!M916*12,'Rent Roll Detail Input'!M916)</f>
        <v>0</v>
      </c>
      <c r="L912" s="325">
        <f t="shared" si="23"/>
        <v>0</v>
      </c>
    </row>
    <row r="913" spans="11:12">
      <c r="K913" s="328">
        <f>IF(RentTimePeriod="Annual",'Rent Roll Detail Input'!M917*12,'Rent Roll Detail Input'!M917)</f>
        <v>0</v>
      </c>
      <c r="L913" s="325">
        <f t="shared" si="23"/>
        <v>0</v>
      </c>
    </row>
    <row r="914" spans="11:12">
      <c r="K914" s="328">
        <f>IF(RentTimePeriod="Annual",'Rent Roll Detail Input'!M918*12,'Rent Roll Detail Input'!M918)</f>
        <v>0</v>
      </c>
      <c r="L914" s="325">
        <f t="shared" si="23"/>
        <v>0</v>
      </c>
    </row>
    <row r="915" spans="11:12">
      <c r="K915" s="328">
        <f>IF(RentTimePeriod="Annual",'Rent Roll Detail Input'!M919*12,'Rent Roll Detail Input'!M919)</f>
        <v>0</v>
      </c>
      <c r="L915" s="325">
        <f t="shared" si="23"/>
        <v>0</v>
      </c>
    </row>
    <row r="916" spans="11:12">
      <c r="K916" s="328">
        <f>IF(RentTimePeriod="Annual",'Rent Roll Detail Input'!M920*12,'Rent Roll Detail Input'!M920)</f>
        <v>0</v>
      </c>
      <c r="L916" s="325">
        <f t="shared" si="23"/>
        <v>0</v>
      </c>
    </row>
    <row r="917" spans="11:12">
      <c r="K917" s="328">
        <f>IF(RentTimePeriod="Annual",'Rent Roll Detail Input'!M921*12,'Rent Roll Detail Input'!M921)</f>
        <v>0</v>
      </c>
      <c r="L917" s="325">
        <f t="shared" si="23"/>
        <v>0</v>
      </c>
    </row>
    <row r="918" spans="11:12">
      <c r="K918" s="328">
        <f>IF(RentTimePeriod="Annual",'Rent Roll Detail Input'!M922*12,'Rent Roll Detail Input'!M922)</f>
        <v>0</v>
      </c>
      <c r="L918" s="325">
        <f t="shared" si="23"/>
        <v>0</v>
      </c>
    </row>
    <row r="919" spans="11:12">
      <c r="K919" s="328">
        <f>IF(RentTimePeriod="Annual",'Rent Roll Detail Input'!M923*12,'Rent Roll Detail Input'!M923)</f>
        <v>0</v>
      </c>
      <c r="L919" s="325">
        <f t="shared" si="23"/>
        <v>0</v>
      </c>
    </row>
    <row r="920" spans="11:12">
      <c r="K920" s="328">
        <f>IF(RentTimePeriod="Annual",'Rent Roll Detail Input'!M924*12,'Rent Roll Detail Input'!M924)</f>
        <v>0</v>
      </c>
      <c r="L920" s="325">
        <f t="shared" si="23"/>
        <v>0</v>
      </c>
    </row>
    <row r="921" spans="11:12">
      <c r="K921" s="328">
        <f>IF(RentTimePeriod="Annual",'Rent Roll Detail Input'!M925*12,'Rent Roll Detail Input'!M925)</f>
        <v>0</v>
      </c>
      <c r="L921" s="325">
        <f t="shared" si="23"/>
        <v>0</v>
      </c>
    </row>
    <row r="922" spans="11:12">
      <c r="K922" s="328">
        <f>IF(RentTimePeriod="Annual",'Rent Roll Detail Input'!M926*12,'Rent Roll Detail Input'!M926)</f>
        <v>0</v>
      </c>
      <c r="L922" s="325">
        <f t="shared" si="23"/>
        <v>0</v>
      </c>
    </row>
    <row r="923" spans="11:12">
      <c r="K923" s="328">
        <f>IF(RentTimePeriod="Annual",'Rent Roll Detail Input'!M927*12,'Rent Roll Detail Input'!M927)</f>
        <v>0</v>
      </c>
      <c r="L923" s="325">
        <f t="shared" si="23"/>
        <v>0</v>
      </c>
    </row>
    <row r="924" spans="11:12">
      <c r="K924" s="328">
        <f>IF(RentTimePeriod="Annual",'Rent Roll Detail Input'!M928*12,'Rent Roll Detail Input'!M928)</f>
        <v>0</v>
      </c>
      <c r="L924" s="325">
        <f t="shared" si="23"/>
        <v>0</v>
      </c>
    </row>
    <row r="925" spans="11:12">
      <c r="K925" s="328">
        <f>IF(RentTimePeriod="Annual",'Rent Roll Detail Input'!M929*12,'Rent Roll Detail Input'!M929)</f>
        <v>0</v>
      </c>
      <c r="L925" s="325">
        <f t="shared" si="23"/>
        <v>0</v>
      </c>
    </row>
    <row r="926" spans="11:12">
      <c r="K926" s="328">
        <f>IF(RentTimePeriod="Annual",'Rent Roll Detail Input'!M930*12,'Rent Roll Detail Input'!M930)</f>
        <v>0</v>
      </c>
      <c r="L926" s="325">
        <f t="shared" si="23"/>
        <v>0</v>
      </c>
    </row>
    <row r="927" spans="11:12">
      <c r="K927" s="328">
        <f>IF(RentTimePeriod="Annual",'Rent Roll Detail Input'!M931*12,'Rent Roll Detail Input'!M931)</f>
        <v>0</v>
      </c>
      <c r="L927" s="325">
        <f t="shared" si="23"/>
        <v>0</v>
      </c>
    </row>
    <row r="928" spans="11:12">
      <c r="K928" s="328">
        <f>IF(RentTimePeriod="Annual",'Rent Roll Detail Input'!M932*12,'Rent Roll Detail Input'!M932)</f>
        <v>0</v>
      </c>
      <c r="L928" s="325">
        <f t="shared" si="23"/>
        <v>0</v>
      </c>
    </row>
    <row r="929" spans="11:12">
      <c r="K929" s="328">
        <f>IF(RentTimePeriod="Annual",'Rent Roll Detail Input'!M933*12,'Rent Roll Detail Input'!M933)</f>
        <v>0</v>
      </c>
      <c r="L929" s="325">
        <f t="shared" si="23"/>
        <v>0</v>
      </c>
    </row>
    <row r="930" spans="11:12">
      <c r="K930" s="328">
        <f>IF(RentTimePeriod="Annual",'Rent Roll Detail Input'!M934*12,'Rent Roll Detail Input'!M934)</f>
        <v>0</v>
      </c>
      <c r="L930" s="325">
        <f t="shared" si="23"/>
        <v>0</v>
      </c>
    </row>
    <row r="931" spans="11:12">
      <c r="K931" s="328">
        <f>IF(RentTimePeriod="Annual",'Rent Roll Detail Input'!M935*12,'Rent Roll Detail Input'!M935)</f>
        <v>0</v>
      </c>
      <c r="L931" s="325">
        <f t="shared" si="23"/>
        <v>0</v>
      </c>
    </row>
    <row r="932" spans="11:12">
      <c r="K932" s="328">
        <f>IF(RentTimePeriod="Annual",'Rent Roll Detail Input'!M936*12,'Rent Roll Detail Input'!M936)</f>
        <v>0</v>
      </c>
      <c r="L932" s="325">
        <f t="shared" si="23"/>
        <v>0</v>
      </c>
    </row>
    <row r="933" spans="11:12">
      <c r="K933" s="328">
        <f>IF(RentTimePeriod="Annual",'Rent Roll Detail Input'!M937*12,'Rent Roll Detail Input'!M937)</f>
        <v>0</v>
      </c>
      <c r="L933" s="325">
        <f t="shared" si="23"/>
        <v>0</v>
      </c>
    </row>
    <row r="934" spans="11:12">
      <c r="K934" s="328">
        <f>IF(RentTimePeriod="Annual",'Rent Roll Detail Input'!M938*12,'Rent Roll Detail Input'!M938)</f>
        <v>0</v>
      </c>
      <c r="L934" s="325">
        <f t="shared" si="23"/>
        <v>0</v>
      </c>
    </row>
    <row r="935" spans="11:12">
      <c r="K935" s="328">
        <f>IF(RentTimePeriod="Annual",'Rent Roll Detail Input'!M939*12,'Rent Roll Detail Input'!M939)</f>
        <v>0</v>
      </c>
      <c r="L935" s="325">
        <f t="shared" si="23"/>
        <v>0</v>
      </c>
    </row>
    <row r="936" spans="11:12">
      <c r="K936" s="328">
        <f>IF(RentTimePeriod="Annual",'Rent Roll Detail Input'!M940*12,'Rent Roll Detail Input'!M940)</f>
        <v>0</v>
      </c>
      <c r="L936" s="325">
        <f t="shared" si="23"/>
        <v>0</v>
      </c>
    </row>
    <row r="937" spans="11:12">
      <c r="K937" s="328">
        <f>IF(RentTimePeriod="Annual",'Rent Roll Detail Input'!M941*12,'Rent Roll Detail Input'!M941)</f>
        <v>0</v>
      </c>
      <c r="L937" s="325">
        <f t="shared" si="23"/>
        <v>0</v>
      </c>
    </row>
    <row r="938" spans="11:12">
      <c r="K938" s="328">
        <f>IF(RentTimePeriod="Annual",'Rent Roll Detail Input'!M942*12,'Rent Roll Detail Input'!M942)</f>
        <v>0</v>
      </c>
      <c r="L938" s="325">
        <f t="shared" si="23"/>
        <v>0</v>
      </c>
    </row>
    <row r="939" spans="11:12">
      <c r="K939" s="328">
        <f>IF(RentTimePeriod="Annual",'Rent Roll Detail Input'!M943*12,'Rent Roll Detail Input'!M943)</f>
        <v>0</v>
      </c>
      <c r="L939" s="325">
        <f t="shared" si="23"/>
        <v>0</v>
      </c>
    </row>
    <row r="940" spans="11:12">
      <c r="K940" s="328">
        <f>IF(RentTimePeriod="Annual",'Rent Roll Detail Input'!M944*12,'Rent Roll Detail Input'!M944)</f>
        <v>0</v>
      </c>
      <c r="L940" s="325">
        <f t="shared" si="23"/>
        <v>0</v>
      </c>
    </row>
    <row r="941" spans="11:12">
      <c r="K941" s="328">
        <f>IF(RentTimePeriod="Annual",'Rent Roll Detail Input'!M945*12,'Rent Roll Detail Input'!M945)</f>
        <v>0</v>
      </c>
      <c r="L941" s="325">
        <f t="shared" si="23"/>
        <v>0</v>
      </c>
    </row>
    <row r="942" spans="11:12">
      <c r="K942" s="328">
        <f>IF(RentTimePeriod="Annual",'Rent Roll Detail Input'!M946*12,'Rent Roll Detail Input'!M946)</f>
        <v>0</v>
      </c>
      <c r="L942" s="325">
        <f t="shared" si="23"/>
        <v>0</v>
      </c>
    </row>
    <row r="943" spans="11:12">
      <c r="K943" s="328">
        <f>IF(RentTimePeriod="Annual",'Rent Roll Detail Input'!M947*12,'Rent Roll Detail Input'!M947)</f>
        <v>0</v>
      </c>
      <c r="L943" s="325">
        <f t="shared" si="23"/>
        <v>0</v>
      </c>
    </row>
    <row r="944" spans="11:12">
      <c r="K944" s="328">
        <f>IF(RentTimePeriod="Annual",'Rent Roll Detail Input'!M948*12,'Rent Roll Detail Input'!M948)</f>
        <v>0</v>
      </c>
      <c r="L944" s="325">
        <f t="shared" si="23"/>
        <v>0</v>
      </c>
    </row>
    <row r="945" spans="11:12">
      <c r="K945" s="328">
        <f>IF(RentTimePeriod="Annual",'Rent Roll Detail Input'!M949*12,'Rent Roll Detail Input'!M949)</f>
        <v>0</v>
      </c>
      <c r="L945" s="325">
        <f t="shared" si="23"/>
        <v>0</v>
      </c>
    </row>
    <row r="946" spans="11:12">
      <c r="K946" s="328">
        <f>IF(RentTimePeriod="Annual",'Rent Roll Detail Input'!M950*12,'Rent Roll Detail Input'!M950)</f>
        <v>0</v>
      </c>
      <c r="L946" s="325">
        <f t="shared" si="23"/>
        <v>0</v>
      </c>
    </row>
    <row r="947" spans="11:12">
      <c r="K947" s="328">
        <f>IF(RentTimePeriod="Annual",'Rent Roll Detail Input'!M951*12,'Rent Roll Detail Input'!M951)</f>
        <v>0</v>
      </c>
      <c r="L947" s="325">
        <f t="shared" si="23"/>
        <v>0</v>
      </c>
    </row>
    <row r="948" spans="11:12">
      <c r="K948" s="328">
        <f>IF(RentTimePeriod="Annual",'Rent Roll Detail Input'!M952*12,'Rent Roll Detail Input'!M952)</f>
        <v>0</v>
      </c>
      <c r="L948" s="325">
        <f t="shared" si="23"/>
        <v>0</v>
      </c>
    </row>
    <row r="949" spans="11:12">
      <c r="K949" s="328">
        <f>IF(RentTimePeriod="Annual",'Rent Roll Detail Input'!M953*12,'Rent Roll Detail Input'!M953)</f>
        <v>0</v>
      </c>
      <c r="L949" s="325">
        <f t="shared" si="23"/>
        <v>0</v>
      </c>
    </row>
    <row r="950" spans="11:12">
      <c r="K950" s="328">
        <f>IF(RentTimePeriod="Annual",'Rent Roll Detail Input'!M954*12,'Rent Roll Detail Input'!M954)</f>
        <v>0</v>
      </c>
      <c r="L950" s="325">
        <f t="shared" si="23"/>
        <v>0</v>
      </c>
    </row>
    <row r="951" spans="11:12">
      <c r="K951" s="328">
        <f>IF(RentTimePeriod="Annual",'Rent Roll Detail Input'!M955*12,'Rent Roll Detail Input'!M955)</f>
        <v>0</v>
      </c>
      <c r="L951" s="325">
        <f t="shared" si="23"/>
        <v>0</v>
      </c>
    </row>
    <row r="952" spans="11:12">
      <c r="K952" s="328">
        <f>IF(RentTimePeriod="Annual",'Rent Roll Detail Input'!M956*12,'Rent Roll Detail Input'!M956)</f>
        <v>0</v>
      </c>
      <c r="L952" s="325">
        <f t="shared" si="23"/>
        <v>0</v>
      </c>
    </row>
    <row r="953" spans="11:12">
      <c r="K953" s="328">
        <f>IF(RentTimePeriod="Annual",'Rent Roll Detail Input'!M957*12,'Rent Roll Detail Input'!M957)</f>
        <v>0</v>
      </c>
      <c r="L953" s="325">
        <f t="shared" si="23"/>
        <v>0</v>
      </c>
    </row>
    <row r="954" spans="11:12">
      <c r="K954" s="328">
        <f>IF(RentTimePeriod="Annual",'Rent Roll Detail Input'!M958*12,'Rent Roll Detail Input'!M958)</f>
        <v>0</v>
      </c>
      <c r="L954" s="325">
        <f t="shared" si="23"/>
        <v>0</v>
      </c>
    </row>
    <row r="955" spans="11:12">
      <c r="K955" s="328">
        <f>IF(RentTimePeriod="Annual",'Rent Roll Detail Input'!M959*12,'Rent Roll Detail Input'!M959)</f>
        <v>0</v>
      </c>
      <c r="L955" s="325">
        <f t="shared" si="23"/>
        <v>0</v>
      </c>
    </row>
    <row r="956" spans="11:12">
      <c r="K956" s="328">
        <f>IF(RentTimePeriod="Annual",'Rent Roll Detail Input'!M960*12,'Rent Roll Detail Input'!M960)</f>
        <v>0</v>
      </c>
      <c r="L956" s="325">
        <f t="shared" si="23"/>
        <v>0</v>
      </c>
    </row>
    <row r="957" spans="11:12">
      <c r="K957" s="328">
        <f>IF(RentTimePeriod="Annual",'Rent Roll Detail Input'!M961*12,'Rent Roll Detail Input'!M961)</f>
        <v>0</v>
      </c>
      <c r="L957" s="325">
        <f t="shared" si="23"/>
        <v>0</v>
      </c>
    </row>
    <row r="958" spans="11:12">
      <c r="K958" s="328">
        <f>IF(RentTimePeriod="Annual",'Rent Roll Detail Input'!M962*12,'Rent Roll Detail Input'!M962)</f>
        <v>0</v>
      </c>
      <c r="L958" s="325">
        <f t="shared" si="23"/>
        <v>0</v>
      </c>
    </row>
    <row r="959" spans="11:12">
      <c r="K959" s="328">
        <f>IF(RentTimePeriod="Annual",'Rent Roll Detail Input'!M963*12,'Rent Roll Detail Input'!M963)</f>
        <v>0</v>
      </c>
      <c r="L959" s="325">
        <f t="shared" si="23"/>
        <v>0</v>
      </c>
    </row>
    <row r="960" spans="11:12">
      <c r="K960" s="328">
        <f>IF(RentTimePeriod="Annual",'Rent Roll Detail Input'!M964*12,'Rent Roll Detail Input'!M964)</f>
        <v>0</v>
      </c>
      <c r="L960" s="325">
        <f t="shared" si="23"/>
        <v>0</v>
      </c>
    </row>
    <row r="961" spans="11:12">
      <c r="K961" s="328">
        <f>IF(RentTimePeriod="Annual",'Rent Roll Detail Input'!M965*12,'Rent Roll Detail Input'!M965)</f>
        <v>0</v>
      </c>
      <c r="L961" s="325">
        <f t="shared" si="23"/>
        <v>0</v>
      </c>
    </row>
    <row r="962" spans="11:12">
      <c r="K962" s="328">
        <f>IF(RentTimePeriod="Annual",'Rent Roll Detail Input'!M966*12,'Rent Roll Detail Input'!M966)</f>
        <v>0</v>
      </c>
      <c r="L962" s="325">
        <f t="shared" si="23"/>
        <v>0</v>
      </c>
    </row>
    <row r="963" spans="11:12">
      <c r="K963" s="328">
        <f>IF(RentTimePeriod="Annual",'Rent Roll Detail Input'!M967*12,'Rent Roll Detail Input'!M967)</f>
        <v>0</v>
      </c>
      <c r="L963" s="325">
        <f t="shared" si="23"/>
        <v>0</v>
      </c>
    </row>
    <row r="964" spans="11:12">
      <c r="K964" s="328">
        <f>IF(RentTimePeriod="Annual",'Rent Roll Detail Input'!M968*12,'Rent Roll Detail Input'!M968)</f>
        <v>0</v>
      </c>
      <c r="L964" s="325">
        <f t="shared" si="23"/>
        <v>0</v>
      </c>
    </row>
    <row r="965" spans="11:12">
      <c r="K965" s="328">
        <f>IF(RentTimePeriod="Annual",'Rent Roll Detail Input'!M969*12,'Rent Roll Detail Input'!M969)</f>
        <v>0</v>
      </c>
      <c r="L965" s="325">
        <f t="shared" si="23"/>
        <v>0</v>
      </c>
    </row>
    <row r="966" spans="11:12">
      <c r="K966" s="328">
        <f>IF(RentTimePeriod="Annual",'Rent Roll Detail Input'!M970*12,'Rent Roll Detail Input'!M970)</f>
        <v>0</v>
      </c>
      <c r="L966" s="325">
        <f t="shared" si="23"/>
        <v>0</v>
      </c>
    </row>
    <row r="967" spans="11:12">
      <c r="K967" s="328">
        <f>IF(RentTimePeriod="Annual",'Rent Roll Detail Input'!M971*12,'Rent Roll Detail Input'!M971)</f>
        <v>0</v>
      </c>
      <c r="L967" s="325">
        <f t="shared" si="23"/>
        <v>0</v>
      </c>
    </row>
    <row r="968" spans="11:12">
      <c r="K968" s="328">
        <f>IF(RentTimePeriod="Annual",'Rent Roll Detail Input'!M972*12,'Rent Roll Detail Input'!M972)</f>
        <v>0</v>
      </c>
      <c r="L968" s="325">
        <f t="shared" ref="L968:L1007" si="24">IF(D968="N/A","N/A",IFERROR(K968/D968,0))</f>
        <v>0</v>
      </c>
    </row>
    <row r="969" spans="11:12">
      <c r="K969" s="328">
        <f>IF(RentTimePeriod="Annual",'Rent Roll Detail Input'!M973*12,'Rent Roll Detail Input'!M973)</f>
        <v>0</v>
      </c>
      <c r="L969" s="325">
        <f t="shared" si="24"/>
        <v>0</v>
      </c>
    </row>
    <row r="970" spans="11:12">
      <c r="K970" s="328">
        <f>IF(RentTimePeriod="Annual",'Rent Roll Detail Input'!M974*12,'Rent Roll Detail Input'!M974)</f>
        <v>0</v>
      </c>
      <c r="L970" s="325">
        <f t="shared" si="24"/>
        <v>0</v>
      </c>
    </row>
    <row r="971" spans="11:12">
      <c r="K971" s="328">
        <f>IF(RentTimePeriod="Annual",'Rent Roll Detail Input'!M975*12,'Rent Roll Detail Input'!M975)</f>
        <v>0</v>
      </c>
      <c r="L971" s="325">
        <f t="shared" si="24"/>
        <v>0</v>
      </c>
    </row>
    <row r="972" spans="11:12">
      <c r="K972" s="328">
        <f>IF(RentTimePeriod="Annual",'Rent Roll Detail Input'!M976*12,'Rent Roll Detail Input'!M976)</f>
        <v>0</v>
      </c>
      <c r="L972" s="325">
        <f t="shared" si="24"/>
        <v>0</v>
      </c>
    </row>
    <row r="973" spans="11:12">
      <c r="K973" s="328">
        <f>IF(RentTimePeriod="Annual",'Rent Roll Detail Input'!M977*12,'Rent Roll Detail Input'!M977)</f>
        <v>0</v>
      </c>
      <c r="L973" s="325">
        <f t="shared" si="24"/>
        <v>0</v>
      </c>
    </row>
    <row r="974" spans="11:12">
      <c r="K974" s="328">
        <f>IF(RentTimePeriod="Annual",'Rent Roll Detail Input'!M978*12,'Rent Roll Detail Input'!M978)</f>
        <v>0</v>
      </c>
      <c r="L974" s="325">
        <f t="shared" si="24"/>
        <v>0</v>
      </c>
    </row>
    <row r="975" spans="11:12">
      <c r="K975" s="328">
        <f>IF(RentTimePeriod="Annual",'Rent Roll Detail Input'!M979*12,'Rent Roll Detail Input'!M979)</f>
        <v>0</v>
      </c>
      <c r="L975" s="325">
        <f t="shared" si="24"/>
        <v>0</v>
      </c>
    </row>
    <row r="976" spans="11:12">
      <c r="K976" s="328">
        <f>IF(RentTimePeriod="Annual",'Rent Roll Detail Input'!M980*12,'Rent Roll Detail Input'!M980)</f>
        <v>0</v>
      </c>
      <c r="L976" s="325">
        <f t="shared" si="24"/>
        <v>0</v>
      </c>
    </row>
    <row r="977" spans="11:12">
      <c r="K977" s="328">
        <f>IF(RentTimePeriod="Annual",'Rent Roll Detail Input'!M981*12,'Rent Roll Detail Input'!M981)</f>
        <v>0</v>
      </c>
      <c r="L977" s="325">
        <f t="shared" si="24"/>
        <v>0</v>
      </c>
    </row>
    <row r="978" spans="11:12">
      <c r="K978" s="328">
        <f>IF(RentTimePeriod="Annual",'Rent Roll Detail Input'!M982*12,'Rent Roll Detail Input'!M982)</f>
        <v>0</v>
      </c>
      <c r="L978" s="325">
        <f t="shared" si="24"/>
        <v>0</v>
      </c>
    </row>
    <row r="979" spans="11:12">
      <c r="K979" s="328">
        <f>IF(RentTimePeriod="Annual",'Rent Roll Detail Input'!M983*12,'Rent Roll Detail Input'!M983)</f>
        <v>0</v>
      </c>
      <c r="L979" s="325">
        <f t="shared" si="24"/>
        <v>0</v>
      </c>
    </row>
    <row r="980" spans="11:12">
      <c r="K980" s="328">
        <f>IF(RentTimePeriod="Annual",'Rent Roll Detail Input'!M984*12,'Rent Roll Detail Input'!M984)</f>
        <v>0</v>
      </c>
      <c r="L980" s="325">
        <f t="shared" si="24"/>
        <v>0</v>
      </c>
    </row>
    <row r="981" spans="11:12">
      <c r="K981" s="328">
        <f>IF(RentTimePeriod="Annual",'Rent Roll Detail Input'!M985*12,'Rent Roll Detail Input'!M985)</f>
        <v>0</v>
      </c>
      <c r="L981" s="325">
        <f t="shared" si="24"/>
        <v>0</v>
      </c>
    </row>
    <row r="982" spans="11:12">
      <c r="K982" s="328">
        <f>IF(RentTimePeriod="Annual",'Rent Roll Detail Input'!M986*12,'Rent Roll Detail Input'!M986)</f>
        <v>0</v>
      </c>
      <c r="L982" s="325">
        <f t="shared" si="24"/>
        <v>0</v>
      </c>
    </row>
    <row r="983" spans="11:12">
      <c r="K983" s="328">
        <f>IF(RentTimePeriod="Annual",'Rent Roll Detail Input'!M987*12,'Rent Roll Detail Input'!M987)</f>
        <v>0</v>
      </c>
      <c r="L983" s="325">
        <f t="shared" si="24"/>
        <v>0</v>
      </c>
    </row>
    <row r="984" spans="11:12">
      <c r="K984" s="328">
        <f>IF(RentTimePeriod="Annual",'Rent Roll Detail Input'!M988*12,'Rent Roll Detail Input'!M988)</f>
        <v>0</v>
      </c>
      <c r="L984" s="325">
        <f t="shared" si="24"/>
        <v>0</v>
      </c>
    </row>
    <row r="985" spans="11:12">
      <c r="K985" s="328">
        <f>IF(RentTimePeriod="Annual",'Rent Roll Detail Input'!M989*12,'Rent Roll Detail Input'!M989)</f>
        <v>0</v>
      </c>
      <c r="L985" s="325">
        <f t="shared" si="24"/>
        <v>0</v>
      </c>
    </row>
    <row r="986" spans="11:12">
      <c r="K986" s="328">
        <f>IF(RentTimePeriod="Annual",'Rent Roll Detail Input'!M990*12,'Rent Roll Detail Input'!M990)</f>
        <v>0</v>
      </c>
      <c r="L986" s="325">
        <f t="shared" si="24"/>
        <v>0</v>
      </c>
    </row>
    <row r="987" spans="11:12">
      <c r="K987" s="328">
        <f>IF(RentTimePeriod="Annual",'Rent Roll Detail Input'!M991*12,'Rent Roll Detail Input'!M991)</f>
        <v>0</v>
      </c>
      <c r="L987" s="325">
        <f t="shared" si="24"/>
        <v>0</v>
      </c>
    </row>
    <row r="988" spans="11:12">
      <c r="K988" s="328">
        <f>IF(RentTimePeriod="Annual",'Rent Roll Detail Input'!M992*12,'Rent Roll Detail Input'!M992)</f>
        <v>0</v>
      </c>
      <c r="L988" s="325">
        <f t="shared" si="24"/>
        <v>0</v>
      </c>
    </row>
    <row r="989" spans="11:12">
      <c r="K989" s="328">
        <f>IF(RentTimePeriod="Annual",'Rent Roll Detail Input'!M993*12,'Rent Roll Detail Input'!M993)</f>
        <v>0</v>
      </c>
      <c r="L989" s="325">
        <f t="shared" si="24"/>
        <v>0</v>
      </c>
    </row>
    <row r="990" spans="11:12">
      <c r="K990" s="328">
        <f>IF(RentTimePeriod="Annual",'Rent Roll Detail Input'!M994*12,'Rent Roll Detail Input'!M994)</f>
        <v>0</v>
      </c>
      <c r="L990" s="325">
        <f t="shared" si="24"/>
        <v>0</v>
      </c>
    </row>
    <row r="991" spans="11:12">
      <c r="K991" s="328">
        <f>IF(RentTimePeriod="Annual",'Rent Roll Detail Input'!M995*12,'Rent Roll Detail Input'!M995)</f>
        <v>0</v>
      </c>
      <c r="L991" s="325">
        <f t="shared" si="24"/>
        <v>0</v>
      </c>
    </row>
    <row r="992" spans="11:12">
      <c r="K992" s="328">
        <f>IF(RentTimePeriod="Annual",'Rent Roll Detail Input'!M996*12,'Rent Roll Detail Input'!M996)</f>
        <v>0</v>
      </c>
      <c r="L992" s="325">
        <f t="shared" si="24"/>
        <v>0</v>
      </c>
    </row>
    <row r="993" spans="2:12">
      <c r="K993" s="328">
        <f>IF(RentTimePeriod="Annual",'Rent Roll Detail Input'!M997*12,'Rent Roll Detail Input'!M997)</f>
        <v>0</v>
      </c>
      <c r="L993" s="325">
        <f t="shared" si="24"/>
        <v>0</v>
      </c>
    </row>
    <row r="994" spans="2:12">
      <c r="K994" s="328">
        <f>IF(RentTimePeriod="Annual",'Rent Roll Detail Input'!M998*12,'Rent Roll Detail Input'!M998)</f>
        <v>0</v>
      </c>
      <c r="L994" s="325">
        <f t="shared" si="24"/>
        <v>0</v>
      </c>
    </row>
    <row r="995" spans="2:12">
      <c r="K995" s="328">
        <f>IF(RentTimePeriod="Annual",'Rent Roll Detail Input'!M999*12,'Rent Roll Detail Input'!M999)</f>
        <v>0</v>
      </c>
      <c r="L995" s="325">
        <f t="shared" si="24"/>
        <v>0</v>
      </c>
    </row>
    <row r="996" spans="2:12">
      <c r="K996" s="328">
        <f>IF(RentTimePeriod="Annual",'Rent Roll Detail Input'!M1000*12,'Rent Roll Detail Input'!M1000)</f>
        <v>0</v>
      </c>
      <c r="L996" s="325">
        <f t="shared" si="24"/>
        <v>0</v>
      </c>
    </row>
    <row r="997" spans="2:12">
      <c r="K997" s="328">
        <f>IF(RentTimePeriod="Annual",'Rent Roll Detail Input'!M1001*12,'Rent Roll Detail Input'!M1001)</f>
        <v>0</v>
      </c>
      <c r="L997" s="325">
        <f t="shared" si="24"/>
        <v>0</v>
      </c>
    </row>
    <row r="998" spans="2:12">
      <c r="K998" s="328">
        <f>IF(RentTimePeriod="Annual",'Rent Roll Detail Input'!M1002*12,'Rent Roll Detail Input'!M1002)</f>
        <v>0</v>
      </c>
      <c r="L998" s="325">
        <f t="shared" si="24"/>
        <v>0</v>
      </c>
    </row>
    <row r="999" spans="2:12">
      <c r="K999" s="328">
        <f>IF(RentTimePeriod="Annual",'Rent Roll Detail Input'!M1003*12,'Rent Roll Detail Input'!M1003)</f>
        <v>0</v>
      </c>
      <c r="L999" s="325">
        <f t="shared" si="24"/>
        <v>0</v>
      </c>
    </row>
    <row r="1000" spans="2:12">
      <c r="K1000" s="328">
        <f>IF(RentTimePeriod="Annual",'Rent Roll Detail Input'!M1004*12,'Rent Roll Detail Input'!M1004)</f>
        <v>0</v>
      </c>
      <c r="L1000" s="325">
        <f t="shared" si="24"/>
        <v>0</v>
      </c>
    </row>
    <row r="1001" spans="2:12">
      <c r="B1001" s="324">
        <f>'Rent Roll Detail Input'!G1005</f>
        <v>0</v>
      </c>
      <c r="C1001" s="324">
        <f>'Rent Roll Detail Input'!H1005</f>
        <v>0</v>
      </c>
      <c r="D1001" s="326" t="str">
        <f>IF(OR('Rent Roll Detail Input'!I1005="", 'Rent Roll Detail Input'!I1005=0),"N/A", 'Rent Roll Detail Input'!I1005)</f>
        <v>N/A</v>
      </c>
      <c r="E1001" s="327" t="str">
        <f>IF('Rent Roll Detail Input'!J1005=0,"Vacant",IF(RentTimePeriod="Annual",'Rent Roll Detail Input'!J1005*12,'Rent Roll Detail Input'!J1005))</f>
        <v>Vacant</v>
      </c>
      <c r="F1001" s="325" t="str">
        <f t="shared" ref="F1001:F1007" si="25">IF(D1001="N/A","N/A",IFERROR(E1001/D1001,0))</f>
        <v>N/A</v>
      </c>
      <c r="G1001" s="327">
        <f>IF(RentTimePeriod="Annual",'Rent Roll Detail Input'!K1005*12,'Rent Roll Detail Input'!K1005)</f>
        <v>0</v>
      </c>
      <c r="H1001" s="325" t="str">
        <f t="shared" ref="H1001:H1007" si="26">IF(D1001="N/A","N/A",IFERROR(G1001/D1001,0))</f>
        <v>N/A</v>
      </c>
      <c r="I1001" s="328">
        <f>IF(RentTimePeriod="Annual",'Rent Roll Detail Input'!L1005*12,'Rent Roll Detail Input'!L1005)</f>
        <v>0</v>
      </c>
      <c r="J1001" s="325" t="str">
        <f t="shared" ref="J1001:J1007" si="27">IF(D1001="N/A","N/A",IFERROR(I1001/D1001,0))</f>
        <v>N/A</v>
      </c>
      <c r="K1001" s="328">
        <f>IF(RentTimePeriod="Annual",'Rent Roll Detail Input'!M1005*12,'Rent Roll Detail Input'!M1005)</f>
        <v>0</v>
      </c>
      <c r="L1001" s="325" t="str">
        <f t="shared" si="24"/>
        <v>N/A</v>
      </c>
    </row>
    <row r="1002" spans="2:12">
      <c r="B1002" s="324">
        <f>'Rent Roll Detail Input'!G1006</f>
        <v>0</v>
      </c>
      <c r="C1002" s="324">
        <f>'Rent Roll Detail Input'!H1006</f>
        <v>0</v>
      </c>
      <c r="D1002" s="326" t="str">
        <f>IF(OR('Rent Roll Detail Input'!I1006="", 'Rent Roll Detail Input'!I1006=0),"N/A", 'Rent Roll Detail Input'!I1006)</f>
        <v>N/A</v>
      </c>
      <c r="E1002" s="327" t="str">
        <f>IF('Rent Roll Detail Input'!J1006=0,"Vacant",IF(RentTimePeriod="Annual",'Rent Roll Detail Input'!J1006*12,'Rent Roll Detail Input'!J1006))</f>
        <v>Vacant</v>
      </c>
      <c r="F1002" s="325" t="str">
        <f t="shared" si="25"/>
        <v>N/A</v>
      </c>
      <c r="G1002" s="327">
        <f>IF(RentTimePeriod="Annual",'Rent Roll Detail Input'!K1006*12,'Rent Roll Detail Input'!K1006)</f>
        <v>0</v>
      </c>
      <c r="H1002" s="325" t="str">
        <f t="shared" si="26"/>
        <v>N/A</v>
      </c>
      <c r="I1002" s="328">
        <f>IF(RentTimePeriod="Annual",'Rent Roll Detail Input'!L1006*12,'Rent Roll Detail Input'!L1006)</f>
        <v>0</v>
      </c>
      <c r="J1002" s="325" t="str">
        <f t="shared" si="27"/>
        <v>N/A</v>
      </c>
      <c r="K1002" s="328">
        <f>IF(RentTimePeriod="Annual",'Rent Roll Detail Input'!M1006*12,'Rent Roll Detail Input'!M1006)</f>
        <v>0</v>
      </c>
      <c r="L1002" s="325" t="str">
        <f t="shared" si="24"/>
        <v>N/A</v>
      </c>
    </row>
    <row r="1003" spans="2:12">
      <c r="B1003" s="324">
        <f>'Rent Roll Detail Input'!G1007</f>
        <v>0</v>
      </c>
      <c r="C1003" s="324">
        <f>'Rent Roll Detail Input'!H1007</f>
        <v>0</v>
      </c>
      <c r="D1003" s="326" t="str">
        <f>IF(OR('Rent Roll Detail Input'!I1007="", 'Rent Roll Detail Input'!I1007=0),"N/A", 'Rent Roll Detail Input'!I1007)</f>
        <v>N/A</v>
      </c>
      <c r="E1003" s="327" t="str">
        <f>IF('Rent Roll Detail Input'!J1007=0,"Vacant",IF(RentTimePeriod="Annual",'Rent Roll Detail Input'!J1007*12,'Rent Roll Detail Input'!J1007))</f>
        <v>Vacant</v>
      </c>
      <c r="F1003" s="325" t="str">
        <f t="shared" si="25"/>
        <v>N/A</v>
      </c>
      <c r="G1003" s="327">
        <f>IF(RentTimePeriod="Annual",'Rent Roll Detail Input'!K1007*12,'Rent Roll Detail Input'!K1007)</f>
        <v>0</v>
      </c>
      <c r="H1003" s="325" t="str">
        <f t="shared" si="26"/>
        <v>N/A</v>
      </c>
      <c r="I1003" s="328">
        <f>IF(RentTimePeriod="Annual",'Rent Roll Detail Input'!L1007*12,'Rent Roll Detail Input'!L1007)</f>
        <v>0</v>
      </c>
      <c r="J1003" s="325" t="str">
        <f t="shared" si="27"/>
        <v>N/A</v>
      </c>
      <c r="K1003" s="328">
        <f>IF(RentTimePeriod="Annual",'Rent Roll Detail Input'!M1007*12,'Rent Roll Detail Input'!M1007)</f>
        <v>0</v>
      </c>
      <c r="L1003" s="325" t="str">
        <f t="shared" si="24"/>
        <v>N/A</v>
      </c>
    </row>
    <row r="1004" spans="2:12">
      <c r="B1004" s="324">
        <f>'Rent Roll Detail Input'!G1008</f>
        <v>0</v>
      </c>
      <c r="C1004" s="324">
        <f>'Rent Roll Detail Input'!H1008</f>
        <v>0</v>
      </c>
      <c r="D1004" s="326" t="str">
        <f>IF(OR('Rent Roll Detail Input'!I1008="", 'Rent Roll Detail Input'!I1008=0),"N/A", 'Rent Roll Detail Input'!I1008)</f>
        <v>N/A</v>
      </c>
      <c r="E1004" s="327" t="str">
        <f>IF('Rent Roll Detail Input'!J1008=0,"Vacant",IF(RentTimePeriod="Annual",'Rent Roll Detail Input'!J1008*12,'Rent Roll Detail Input'!J1008))</f>
        <v>Vacant</v>
      </c>
      <c r="F1004" s="325" t="str">
        <f t="shared" si="25"/>
        <v>N/A</v>
      </c>
      <c r="G1004" s="327">
        <f>IF(RentTimePeriod="Annual",'Rent Roll Detail Input'!K1008*12,'Rent Roll Detail Input'!K1008)</f>
        <v>0</v>
      </c>
      <c r="H1004" s="325" t="str">
        <f t="shared" si="26"/>
        <v>N/A</v>
      </c>
      <c r="I1004" s="328">
        <f>IF(RentTimePeriod="Annual",'Rent Roll Detail Input'!L1008*12,'Rent Roll Detail Input'!L1008)</f>
        <v>0</v>
      </c>
      <c r="J1004" s="325" t="str">
        <f t="shared" si="27"/>
        <v>N/A</v>
      </c>
      <c r="K1004" s="328">
        <f>IF(RentTimePeriod="Annual",'Rent Roll Detail Input'!M1008*12,'Rent Roll Detail Input'!M1008)</f>
        <v>0</v>
      </c>
      <c r="L1004" s="325" t="str">
        <f t="shared" si="24"/>
        <v>N/A</v>
      </c>
    </row>
    <row r="1005" spans="2:12">
      <c r="B1005" s="324">
        <f>'Rent Roll Detail Input'!G1009</f>
        <v>0</v>
      </c>
      <c r="C1005" s="324">
        <f>'Rent Roll Detail Input'!H1009</f>
        <v>0</v>
      </c>
      <c r="D1005" s="326" t="str">
        <f>IF(OR('Rent Roll Detail Input'!I1009="", 'Rent Roll Detail Input'!I1009=0),"N/A", 'Rent Roll Detail Input'!I1009)</f>
        <v>N/A</v>
      </c>
      <c r="E1005" s="327" t="str">
        <f>IF('Rent Roll Detail Input'!J1009=0,"Vacant",IF(RentTimePeriod="Annual",'Rent Roll Detail Input'!J1009*12,'Rent Roll Detail Input'!J1009))</f>
        <v>Vacant</v>
      </c>
      <c r="F1005" s="325" t="str">
        <f t="shared" si="25"/>
        <v>N/A</v>
      </c>
      <c r="G1005" s="327">
        <f>IF(RentTimePeriod="Annual",'Rent Roll Detail Input'!K1009*12,'Rent Roll Detail Input'!K1009)</f>
        <v>0</v>
      </c>
      <c r="H1005" s="325" t="str">
        <f t="shared" si="26"/>
        <v>N/A</v>
      </c>
      <c r="I1005" s="328">
        <f>IF(RentTimePeriod="Annual",'Rent Roll Detail Input'!L1009*12,'Rent Roll Detail Input'!L1009)</f>
        <v>0</v>
      </c>
      <c r="J1005" s="325" t="str">
        <f t="shared" si="27"/>
        <v>N/A</v>
      </c>
      <c r="K1005" s="328">
        <f>IF(RentTimePeriod="Annual",'Rent Roll Detail Input'!M1009*12,'Rent Roll Detail Input'!M1009)</f>
        <v>0</v>
      </c>
      <c r="L1005" s="325" t="str">
        <f t="shared" si="24"/>
        <v>N/A</v>
      </c>
    </row>
    <row r="1006" spans="2:12">
      <c r="B1006" s="324">
        <f>'Rent Roll Detail Input'!G1010</f>
        <v>0</v>
      </c>
      <c r="C1006" s="324">
        <f>'Rent Roll Detail Input'!H1010</f>
        <v>0</v>
      </c>
      <c r="D1006" s="326" t="str">
        <f>IF(OR('Rent Roll Detail Input'!I1010="", 'Rent Roll Detail Input'!I1010=0),"N/A", 'Rent Roll Detail Input'!I1010)</f>
        <v>N/A</v>
      </c>
      <c r="E1006" s="327" t="str">
        <f>IF('Rent Roll Detail Input'!J1010=0,"Vacant",IF(RentTimePeriod="Annual",'Rent Roll Detail Input'!J1010*12,'Rent Roll Detail Input'!J1010))</f>
        <v>Vacant</v>
      </c>
      <c r="F1006" s="325" t="str">
        <f t="shared" si="25"/>
        <v>N/A</v>
      </c>
      <c r="G1006" s="327">
        <f>IF(RentTimePeriod="Annual",'Rent Roll Detail Input'!K1010*12,'Rent Roll Detail Input'!K1010)</f>
        <v>0</v>
      </c>
      <c r="H1006" s="325" t="str">
        <f t="shared" si="26"/>
        <v>N/A</v>
      </c>
      <c r="I1006" s="328">
        <f>IF(RentTimePeriod="Annual",'Rent Roll Detail Input'!L1010*12,'Rent Roll Detail Input'!L1010)</f>
        <v>0</v>
      </c>
      <c r="J1006" s="325" t="str">
        <f t="shared" si="27"/>
        <v>N/A</v>
      </c>
      <c r="K1006" s="328">
        <f>IF(RentTimePeriod="Annual",'Rent Roll Detail Input'!M1010*12,'Rent Roll Detail Input'!M1010)</f>
        <v>0</v>
      </c>
      <c r="L1006" s="325" t="str">
        <f t="shared" si="24"/>
        <v>N/A</v>
      </c>
    </row>
    <row r="1007" spans="2:12">
      <c r="B1007" s="324">
        <f>'Rent Roll Detail Input'!G1011</f>
        <v>0</v>
      </c>
      <c r="C1007" s="324">
        <f>'Rent Roll Detail Input'!H1011</f>
        <v>0</v>
      </c>
      <c r="D1007" s="326" t="str">
        <f>IF(OR('Rent Roll Detail Input'!I1011="", 'Rent Roll Detail Input'!I1011=0),"N/A", 'Rent Roll Detail Input'!I1011)</f>
        <v>N/A</v>
      </c>
      <c r="E1007" s="327" t="str">
        <f>IF('Rent Roll Detail Input'!J1011=0,"Vacant",IF(RentTimePeriod="Annual",'Rent Roll Detail Input'!J1011*12,'Rent Roll Detail Input'!J1011))</f>
        <v>Vacant</v>
      </c>
      <c r="F1007" s="325" t="str">
        <f t="shared" si="25"/>
        <v>N/A</v>
      </c>
      <c r="G1007" s="327">
        <f>IF(RentTimePeriod="Annual",'Rent Roll Detail Input'!K1011*12,'Rent Roll Detail Input'!K1011)</f>
        <v>0</v>
      </c>
      <c r="H1007" s="325" t="str">
        <f t="shared" si="26"/>
        <v>N/A</v>
      </c>
      <c r="I1007" s="328">
        <f>IF(RentTimePeriod="Annual",'Rent Roll Detail Input'!L1011*12,'Rent Roll Detail Input'!L1011)</f>
        <v>0</v>
      </c>
      <c r="J1007" s="325" t="str">
        <f t="shared" si="27"/>
        <v>N/A</v>
      </c>
      <c r="K1007" s="328">
        <f>IF(RentTimePeriod="Annual",'Rent Roll Detail Input'!M1011*12,'Rent Roll Detail Input'!M1011)</f>
        <v>0</v>
      </c>
      <c r="L1007" s="325" t="str">
        <f t="shared" si="24"/>
        <v>N/A</v>
      </c>
    </row>
    <row r="1008" spans="2:12">
      <c r="B1008" s="324" t="s">
        <v>1651</v>
      </c>
      <c r="D1008" s="326">
        <f>IF('Rent Roll Detail Input'!$N$4="Total Gross Square Feet",'Rent Roll Detail Input'!$N$8,SUM(D8:D1007))</f>
        <v>22674</v>
      </c>
      <c r="E1008" s="327">
        <f>SUM(E8:E1007)</f>
        <v>102858</v>
      </c>
      <c r="F1008" s="325">
        <f>IF('Rent Roll Detail Input'!$N$4="Total Gross Square Feet",E1008/D1008,IFERROR(E1008/SUMIF(E8:E1007,"&lt;&gt;Vacant",D8:D1007),0))</f>
        <v>4.536385287112993</v>
      </c>
      <c r="G1008" s="327">
        <f>SUM(G8:G1007)</f>
        <v>123458</v>
      </c>
      <c r="H1008" s="325">
        <f>IFERROR(G1008/D1008,0)</f>
        <v>5.4449148804798444</v>
      </c>
      <c r="I1008" s="328">
        <f>SUM(I8:I1007)</f>
        <v>146380</v>
      </c>
      <c r="J1008" s="325">
        <f>IFERROR(I1008/D1008,0)</f>
        <v>6.4558525183029021</v>
      </c>
      <c r="K1008" s="328">
        <f>SUM(K8:K1007)</f>
        <v>0</v>
      </c>
      <c r="L1008" s="325">
        <f>IFERROR(K1008/D1008,0)</f>
        <v>0</v>
      </c>
    </row>
    <row r="9001" spans="2:12">
      <c r="B9001" s="324">
        <f>'Rent Roll Detail Input'!G9005</f>
        <v>0</v>
      </c>
      <c r="C9001" s="324">
        <f>'Rent Roll Detail Input'!H9005</f>
        <v>0</v>
      </c>
      <c r="D9001" s="326">
        <f>'Rent Roll Detail Input'!I9005</f>
        <v>0</v>
      </c>
      <c r="E9001" s="327" t="str">
        <f>IF('Rent Roll Detail Input'!J9005=0,"Vacant",'Rent Roll Detail Input'!J9005)</f>
        <v>Vacant</v>
      </c>
      <c r="F9001" s="325" t="str">
        <f t="shared" ref="F9001:F9007" si="28">IFERROR(IF(E9001="Vacant","Vacant",E9001/D9001),0)</f>
        <v>Vacant</v>
      </c>
      <c r="G9001" s="327">
        <f>'Rent Roll Detail Input'!K9005</f>
        <v>0</v>
      </c>
      <c r="H9001" s="325">
        <f t="shared" ref="H9001:H9007" si="29">IFERROR(G9001/D9001,0)</f>
        <v>0</v>
      </c>
      <c r="I9001" s="328">
        <f>'Rent Roll Detail Input'!L9005</f>
        <v>0</v>
      </c>
      <c r="J9001" s="325">
        <f t="shared" ref="J9001:J9007" si="30">IFERROR(I9001/D9001,0)</f>
        <v>0</v>
      </c>
      <c r="K9001" s="328">
        <f>'Rent Roll Detail Input'!N9005</f>
        <v>0</v>
      </c>
      <c r="L9001" s="325">
        <f t="shared" ref="L9001:L9007" si="31">IFERROR(K9001/F9001,0)</f>
        <v>0</v>
      </c>
    </row>
    <row r="9002" spans="2:12">
      <c r="B9002" s="324">
        <f>'Rent Roll Detail Input'!G9006</f>
        <v>0</v>
      </c>
      <c r="C9002" s="324">
        <f>'Rent Roll Detail Input'!H9006</f>
        <v>0</v>
      </c>
      <c r="D9002" s="326">
        <f>'Rent Roll Detail Input'!I9006</f>
        <v>0</v>
      </c>
      <c r="E9002" s="327" t="str">
        <f>IF('Rent Roll Detail Input'!J9006=0,"Vacant",'Rent Roll Detail Input'!J9006)</f>
        <v>Vacant</v>
      </c>
      <c r="F9002" s="325" t="str">
        <f t="shared" si="28"/>
        <v>Vacant</v>
      </c>
      <c r="G9002" s="327">
        <f>'Rent Roll Detail Input'!K9006</f>
        <v>0</v>
      </c>
      <c r="H9002" s="325">
        <f t="shared" si="29"/>
        <v>0</v>
      </c>
      <c r="I9002" s="328">
        <f>'Rent Roll Detail Input'!L9006</f>
        <v>0</v>
      </c>
      <c r="J9002" s="325">
        <f t="shared" si="30"/>
        <v>0</v>
      </c>
      <c r="K9002" s="328">
        <f>'Rent Roll Detail Input'!N9006</f>
        <v>0</v>
      </c>
      <c r="L9002" s="325">
        <f t="shared" si="31"/>
        <v>0</v>
      </c>
    </row>
    <row r="9003" spans="2:12">
      <c r="B9003" s="324">
        <f>'Rent Roll Detail Input'!G9007</f>
        <v>0</v>
      </c>
      <c r="C9003" s="324">
        <f>'Rent Roll Detail Input'!H9007</f>
        <v>0</v>
      </c>
      <c r="D9003" s="326">
        <f>'Rent Roll Detail Input'!I9007</f>
        <v>0</v>
      </c>
      <c r="E9003" s="327" t="str">
        <f>IF('Rent Roll Detail Input'!J9007=0,"Vacant",'Rent Roll Detail Input'!J9007)</f>
        <v>Vacant</v>
      </c>
      <c r="F9003" s="325" t="str">
        <f t="shared" si="28"/>
        <v>Vacant</v>
      </c>
      <c r="G9003" s="327">
        <f>'Rent Roll Detail Input'!K9007</f>
        <v>0</v>
      </c>
      <c r="H9003" s="325">
        <f t="shared" si="29"/>
        <v>0</v>
      </c>
      <c r="I9003" s="328">
        <f>'Rent Roll Detail Input'!L9007</f>
        <v>0</v>
      </c>
      <c r="J9003" s="325">
        <f t="shared" si="30"/>
        <v>0</v>
      </c>
      <c r="K9003" s="328">
        <f>'Rent Roll Detail Input'!N9007</f>
        <v>0</v>
      </c>
      <c r="L9003" s="325">
        <f t="shared" si="31"/>
        <v>0</v>
      </c>
    </row>
    <row r="9004" spans="2:12">
      <c r="B9004" s="324">
        <f>'Rent Roll Detail Input'!G9008</f>
        <v>0</v>
      </c>
      <c r="C9004" s="324">
        <f>'Rent Roll Detail Input'!H9008</f>
        <v>0</v>
      </c>
      <c r="D9004" s="326">
        <f>'Rent Roll Detail Input'!I9008</f>
        <v>0</v>
      </c>
      <c r="E9004" s="327" t="str">
        <f>IF('Rent Roll Detail Input'!J9008=0,"Vacant",'Rent Roll Detail Input'!J9008)</f>
        <v>Vacant</v>
      </c>
      <c r="F9004" s="325" t="str">
        <f t="shared" si="28"/>
        <v>Vacant</v>
      </c>
      <c r="G9004" s="327">
        <f>'Rent Roll Detail Input'!K9008</f>
        <v>0</v>
      </c>
      <c r="H9004" s="325">
        <f t="shared" si="29"/>
        <v>0</v>
      </c>
      <c r="I9004" s="328">
        <f>'Rent Roll Detail Input'!L9008</f>
        <v>0</v>
      </c>
      <c r="J9004" s="325">
        <f t="shared" si="30"/>
        <v>0</v>
      </c>
      <c r="K9004" s="328">
        <f>'Rent Roll Detail Input'!N9008</f>
        <v>0</v>
      </c>
      <c r="L9004" s="325">
        <f t="shared" si="31"/>
        <v>0</v>
      </c>
    </row>
    <row r="9005" spans="2:12">
      <c r="B9005" s="324">
        <f>'Rent Roll Detail Input'!G9009</f>
        <v>0</v>
      </c>
      <c r="C9005" s="324">
        <f>'Rent Roll Detail Input'!H9009</f>
        <v>0</v>
      </c>
      <c r="D9005" s="326">
        <f>'Rent Roll Detail Input'!I9009</f>
        <v>0</v>
      </c>
      <c r="E9005" s="327" t="str">
        <f>IF('Rent Roll Detail Input'!J9009=0,"Vacant",'Rent Roll Detail Input'!J9009)</f>
        <v>Vacant</v>
      </c>
      <c r="F9005" s="325" t="str">
        <f t="shared" si="28"/>
        <v>Vacant</v>
      </c>
      <c r="G9005" s="327">
        <f>'Rent Roll Detail Input'!K9009</f>
        <v>0</v>
      </c>
      <c r="H9005" s="325">
        <f t="shared" si="29"/>
        <v>0</v>
      </c>
      <c r="I9005" s="328">
        <f>'Rent Roll Detail Input'!L9009</f>
        <v>0</v>
      </c>
      <c r="J9005" s="325">
        <f t="shared" si="30"/>
        <v>0</v>
      </c>
      <c r="K9005" s="328">
        <f>'Rent Roll Detail Input'!N9009</f>
        <v>0</v>
      </c>
      <c r="L9005" s="325">
        <f t="shared" si="31"/>
        <v>0</v>
      </c>
    </row>
    <row r="9006" spans="2:12">
      <c r="B9006" s="324">
        <f>'Rent Roll Detail Input'!G9010</f>
        <v>0</v>
      </c>
      <c r="C9006" s="324">
        <f>'Rent Roll Detail Input'!H9010</f>
        <v>0</v>
      </c>
      <c r="D9006" s="326">
        <f>'Rent Roll Detail Input'!I9010</f>
        <v>0</v>
      </c>
      <c r="E9006" s="327" t="str">
        <f>IF('Rent Roll Detail Input'!J9010=0,"Vacant",'Rent Roll Detail Input'!J9010)</f>
        <v>Vacant</v>
      </c>
      <c r="F9006" s="325" t="str">
        <f t="shared" si="28"/>
        <v>Vacant</v>
      </c>
      <c r="G9006" s="327">
        <f>'Rent Roll Detail Input'!K9010</f>
        <v>0</v>
      </c>
      <c r="H9006" s="325">
        <f t="shared" si="29"/>
        <v>0</v>
      </c>
      <c r="I9006" s="328">
        <f>'Rent Roll Detail Input'!L9010</f>
        <v>0</v>
      </c>
      <c r="J9006" s="325">
        <f t="shared" si="30"/>
        <v>0</v>
      </c>
      <c r="K9006" s="328">
        <f>'Rent Roll Detail Input'!N9010</f>
        <v>0</v>
      </c>
      <c r="L9006" s="325">
        <f t="shared" si="31"/>
        <v>0</v>
      </c>
    </row>
    <row r="9007" spans="2:12">
      <c r="B9007" s="324">
        <f>'Rent Roll Detail Input'!G9011</f>
        <v>0</v>
      </c>
      <c r="C9007" s="324">
        <f>'Rent Roll Detail Input'!H9011</f>
        <v>0</v>
      </c>
      <c r="D9007" s="326">
        <f>'Rent Roll Detail Input'!I9011</f>
        <v>0</v>
      </c>
      <c r="E9007" s="327" t="str">
        <f>IF('Rent Roll Detail Input'!J9011=0,"Vacant",'Rent Roll Detail Input'!J9011)</f>
        <v>Vacant</v>
      </c>
      <c r="F9007" s="325" t="str">
        <f t="shared" si="28"/>
        <v>Vacant</v>
      </c>
      <c r="G9007" s="327">
        <f>'Rent Roll Detail Input'!K9011</f>
        <v>0</v>
      </c>
      <c r="H9007" s="325">
        <f t="shared" si="29"/>
        <v>0</v>
      </c>
      <c r="I9007" s="328">
        <f>'Rent Roll Detail Input'!L9011</f>
        <v>0</v>
      </c>
      <c r="J9007" s="325">
        <f t="shared" si="30"/>
        <v>0</v>
      </c>
      <c r="K9007" s="328">
        <f>'Rent Roll Detail Input'!N9011</f>
        <v>0</v>
      </c>
      <c r="L9007" s="325">
        <f t="shared" si="31"/>
        <v>0</v>
      </c>
    </row>
    <row r="9008" spans="2:12">
      <c r="B9008" s="324" t="s">
        <v>1651</v>
      </c>
      <c r="D9008" s="326">
        <f>SUM(D8:D9007)</f>
        <v>44474</v>
      </c>
      <c r="E9008" s="327">
        <f>SUM(E8:E9007)</f>
        <v>205716</v>
      </c>
      <c r="F9008" s="325">
        <f>E9008/D9008</f>
        <v>4.625534019876782</v>
      </c>
      <c r="G9008" s="327">
        <f>SUM(G8:G9007)</f>
        <v>246916</v>
      </c>
      <c r="H9008" s="325">
        <f>G9008/D9008</f>
        <v>5.5519179745469263</v>
      </c>
      <c r="I9008" s="328">
        <f>SUM(I8:I9007)</f>
        <v>292760</v>
      </c>
      <c r="J9008" s="325">
        <f>I9008/D9008</f>
        <v>6.5827224895444534</v>
      </c>
      <c r="K9008" s="328">
        <f>SUM(K8:K9007)</f>
        <v>0</v>
      </c>
      <c r="L9008" s="325">
        <f>K9008/F9008</f>
        <v>0</v>
      </c>
    </row>
  </sheetData>
  <mergeCells count="2">
    <mergeCell ref="G2:H2"/>
    <mergeCell ref="G1:H1"/>
  </mergeCells>
  <conditionalFormatting sqref="B8:J1007">
    <cfRule type="expression" dxfId="140" priority="9">
      <formula>MOD(ROW(),2)&lt;&gt;0</formula>
    </cfRule>
  </conditionalFormatting>
  <conditionalFormatting sqref="K8:L1007">
    <cfRule type="expression" dxfId="139" priority="3">
      <formula>MOD(ROW(),2)&lt;&gt;0</formula>
    </cfRule>
  </conditionalFormatting>
  <dataValidations disablePrompts="1" count="2">
    <dataValidation type="list" allowBlank="1" showInputMessage="1" showErrorMessage="1" sqref="G2:H2" xr:uid="{00000000-0002-0000-0E00-000000000000}">
      <formula1>"Current and Scheduled,Current and Potential,Scheduled and Potential"</formula1>
    </dataValidation>
    <dataValidation type="list" allowBlank="1" showInputMessage="1" showErrorMessage="1" sqref="G1:H1" xr:uid="{00000000-0002-0000-0E00-000001000000}">
      <formula1>"Monthly, Annual"</formula1>
    </dataValidation>
  </dataValidations>
  <printOptions horizontalCentered="1"/>
  <pageMargins left="0" right="0" top="1.75" bottom="0.5" header="0" footer="0"/>
  <pageSetup fitToHeight="0" orientation="landscape" cellComments="atEnd" r:id="rId1"/>
  <customProperties>
    <customPr name="GUID" r:id="rId2"/>
  </customProperties>
  <extLst>
    <ext xmlns:x14="http://schemas.microsoft.com/office/spreadsheetml/2009/9/main" uri="{78C0D931-6437-407d-A8EE-F0AAD7539E65}">
      <x14:conditionalFormattings>
        <x14:conditionalFormatting xmlns:xm="http://schemas.microsoft.com/office/excel/2006/main">
          <x14:cfRule type="expression" priority="5" id="{56DA3C0B-26A9-4D64-A1B4-B36E7F942254}">
            <xm:f>ROW($B8)&gt;Input!$B$18+8</xm:f>
            <x14:dxf>
              <font>
                <color theme="0"/>
              </font>
              <fill>
                <patternFill patternType="none">
                  <bgColor auto="1"/>
                </patternFill>
              </fill>
              <border>
                <left/>
                <right/>
                <top/>
                <bottom/>
                <vertical/>
                <horizontal/>
              </border>
            </x14:dxf>
          </x14:cfRule>
          <xm:sqref>B8:J1007</xm:sqref>
        </x14:conditionalFormatting>
        <x14:conditionalFormatting xmlns:xm="http://schemas.microsoft.com/office/excel/2006/main">
          <x14:cfRule type="expression" priority="4" id="{8306A3A9-8CE8-49A9-80F8-49C76BA1AD06}">
            <xm:f>ROW($B8)=Input!$B$18+8</xm:f>
            <x14:dxf>
              <font>
                <b/>
                <i val="0"/>
              </font>
              <fill>
                <patternFill>
                  <bgColor theme="0" tint="-0.14996795556505021"/>
                </patternFill>
              </fill>
              <border>
                <bottom style="thin">
                  <color auto="1"/>
                </bottom>
              </border>
            </x14:dxf>
          </x14:cfRule>
          <xm:sqref>B8:J1008</xm:sqref>
        </x14:conditionalFormatting>
        <x14:conditionalFormatting xmlns:xm="http://schemas.microsoft.com/office/excel/2006/main">
          <x14:cfRule type="expression" priority="2" id="{BFDD7FBA-15AF-402C-A9C3-16DFF0EFA3AF}">
            <xm:f>ROW($B8)&gt;Input!$B$18+8</xm:f>
            <x14:dxf>
              <font>
                <color theme="0"/>
              </font>
              <fill>
                <patternFill patternType="none">
                  <bgColor auto="1"/>
                </patternFill>
              </fill>
              <border>
                <left/>
                <right/>
                <top/>
                <bottom/>
                <vertical/>
                <horizontal/>
              </border>
            </x14:dxf>
          </x14:cfRule>
          <xm:sqref>K8:L1007</xm:sqref>
        </x14:conditionalFormatting>
        <x14:conditionalFormatting xmlns:xm="http://schemas.microsoft.com/office/excel/2006/main">
          <x14:cfRule type="expression" priority="1" id="{0F9965C3-8644-4D3A-ACFD-291BEA05ECF7}">
            <xm:f>ROW($B8)=Input!$B$18+8</xm:f>
            <x14:dxf>
              <font>
                <b/>
                <i val="0"/>
              </font>
              <fill>
                <patternFill>
                  <bgColor theme="0" tint="-0.14996795556505021"/>
                </patternFill>
              </fill>
              <border>
                <bottom style="thin">
                  <color auto="1"/>
                </bottom>
              </border>
            </x14:dxf>
          </x14:cfRule>
          <xm:sqref>K8:L1008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rgb="FF92D050"/>
  </sheetPr>
  <dimension ref="A1:AD129"/>
  <sheetViews>
    <sheetView showGridLines="0" zoomScale="130" zoomScaleNormal="130" zoomScaleSheetLayoutView="100" workbookViewId="0">
      <selection activeCell="F11" sqref="F11"/>
    </sheetView>
  </sheetViews>
  <sheetFormatPr defaultColWidth="8.85546875" defaultRowHeight="12.75"/>
  <cols>
    <col min="1" max="1" width="5.140625" style="21" customWidth="1"/>
    <col min="2" max="2" width="28" style="21" bestFit="1" customWidth="1"/>
    <col min="3" max="3" width="8" style="21" customWidth="1"/>
    <col min="4" max="4" width="11.42578125" style="21" customWidth="1"/>
    <col min="5" max="5" width="12.42578125" style="23" customWidth="1"/>
    <col min="6" max="8" width="12.85546875" style="23" hidden="1" customWidth="1"/>
    <col min="9" max="9" width="9" style="21" customWidth="1"/>
    <col min="10" max="10" width="10.5703125" style="21" customWidth="1"/>
    <col min="11" max="14" width="11.42578125" style="21" customWidth="1"/>
    <col min="15" max="16" width="12.85546875" style="21" hidden="1" customWidth="1"/>
    <col min="17" max="17" width="2" customWidth="1"/>
    <col min="18" max="19" width="9.5703125" hidden="1" customWidth="1"/>
    <col min="20" max="20" width="9.5703125" style="21" hidden="1" customWidth="1"/>
    <col min="21" max="21" width="9.85546875" style="21" hidden="1" customWidth="1"/>
    <col min="22" max="22" width="10.140625" style="21" hidden="1" customWidth="1"/>
    <col min="23" max="23" width="4" style="21" customWidth="1"/>
    <col min="24" max="24" width="15.140625" style="21" customWidth="1"/>
    <col min="25" max="25" width="4.42578125" style="21" customWidth="1"/>
    <col min="26" max="26" width="23" style="21" customWidth="1"/>
    <col min="27" max="27" width="11.42578125" style="21" customWidth="1"/>
    <col min="28" max="28" width="6.42578125" style="21" customWidth="1"/>
    <col min="29" max="29" width="8.85546875" style="21"/>
    <col min="30" max="30" width="34.42578125" style="21" customWidth="1"/>
    <col min="31" max="31" width="35.140625" style="21" bestFit="1" customWidth="1"/>
    <col min="32" max="32" width="57.42578125" style="21" bestFit="1" customWidth="1"/>
    <col min="33" max="33" width="29" style="21" bestFit="1" customWidth="1"/>
    <col min="34" max="16384" width="8.85546875" style="21"/>
  </cols>
  <sheetData>
    <row r="1" spans="1:28" ht="13.5" customHeight="1">
      <c r="A1" s="589"/>
      <c r="B1" s="589"/>
      <c r="C1" s="589"/>
      <c r="D1" s="589"/>
      <c r="E1" s="592"/>
      <c r="F1" s="592"/>
      <c r="G1" s="592"/>
      <c r="H1" s="592"/>
      <c r="I1" s="589"/>
      <c r="J1" s="589"/>
      <c r="K1" s="589"/>
      <c r="L1" s="589"/>
      <c r="M1" s="589"/>
      <c r="N1" s="589"/>
      <c r="O1" s="589"/>
      <c r="P1" s="589"/>
      <c r="Q1" s="590"/>
      <c r="R1" s="590"/>
      <c r="S1" s="590"/>
      <c r="T1" s="589" t="str">
        <f>IF(OR(AND(SwitchRentRollType="Detail",'Rent Roll Detail Input'!N4="Total Gross Square Feet"),AND(SwitchRentRollType="Summary",'Rent Roll Summary Input'!R5="Total Gross Square Feet")),"Gross","Rentable")</f>
        <v>Gross</v>
      </c>
      <c r="U1" s="589"/>
      <c r="V1" s="589"/>
      <c r="W1" s="589"/>
      <c r="X1" s="589"/>
    </row>
    <row r="2" spans="1:28" ht="13.5" customHeight="1">
      <c r="A2" s="589"/>
      <c r="B2" s="746" t="s">
        <v>1695</v>
      </c>
      <c r="C2" s="589"/>
      <c r="D2" s="589"/>
      <c r="E2" s="592"/>
      <c r="F2" s="592"/>
      <c r="G2" s="592"/>
      <c r="H2" s="592"/>
      <c r="I2" s="589"/>
      <c r="J2" s="589"/>
      <c r="K2" s="589"/>
      <c r="L2" s="589"/>
      <c r="M2" s="589"/>
      <c r="N2" s="589"/>
      <c r="O2" s="589"/>
      <c r="P2" s="589"/>
      <c r="Q2" s="590"/>
      <c r="R2" s="590"/>
      <c r="S2" s="590"/>
      <c r="T2" s="589"/>
      <c r="U2" s="589"/>
      <c r="V2" s="589"/>
      <c r="W2" s="589"/>
      <c r="X2" s="589"/>
    </row>
    <row r="3" spans="1:28" ht="13.5" customHeight="1">
      <c r="A3" s="589"/>
      <c r="B3" s="1123" t="s">
        <v>1696</v>
      </c>
      <c r="C3" s="1573" t="s">
        <v>40</v>
      </c>
      <c r="D3" s="1574"/>
      <c r="E3" s="748"/>
      <c r="F3" s="748"/>
      <c r="G3" s="748"/>
      <c r="H3" s="748"/>
      <c r="I3" s="747"/>
      <c r="J3" s="747"/>
      <c r="K3" s="747"/>
      <c r="L3" s="747"/>
      <c r="M3" s="747"/>
      <c r="N3" s="747"/>
      <c r="O3" s="591"/>
      <c r="P3" s="591"/>
      <c r="Q3" s="590"/>
      <c r="R3" s="590"/>
      <c r="S3" s="590"/>
      <c r="T3" s="591"/>
      <c r="U3" s="591"/>
      <c r="V3" s="591"/>
      <c r="W3" s="589"/>
      <c r="X3" s="589"/>
    </row>
    <row r="4" spans="1:28" ht="13.5" customHeight="1">
      <c r="A4" s="593">
        <v>30</v>
      </c>
      <c r="B4" s="1123" t="s">
        <v>1697</v>
      </c>
      <c r="C4" s="1576" t="s">
        <v>39</v>
      </c>
      <c r="D4" s="1576"/>
      <c r="E4" s="592"/>
      <c r="F4" s="748"/>
      <c r="G4" s="748"/>
      <c r="H4" s="748"/>
      <c r="K4" s="747"/>
      <c r="L4" s="747"/>
      <c r="M4" s="747"/>
      <c r="N4" s="747"/>
      <c r="O4" s="591"/>
      <c r="P4" s="591"/>
      <c r="Q4" s="590"/>
      <c r="R4" s="590"/>
      <c r="S4" s="590"/>
      <c r="T4" s="591"/>
      <c r="U4" s="591"/>
      <c r="V4" s="591"/>
      <c r="W4" s="589"/>
      <c r="X4" s="589"/>
    </row>
    <row r="5" spans="1:28" ht="13.5" customHeight="1">
      <c r="A5" s="589"/>
      <c r="B5" s="1123" t="s">
        <v>1686</v>
      </c>
      <c r="C5" s="1573" t="s">
        <v>189</v>
      </c>
      <c r="D5" s="1574"/>
      <c r="E5" s="592"/>
      <c r="F5" s="748"/>
      <c r="G5" s="748"/>
      <c r="H5" s="748"/>
      <c r="I5" s="747"/>
      <c r="J5" s="747"/>
      <c r="K5" s="747"/>
      <c r="L5" s="747"/>
      <c r="M5" s="747"/>
      <c r="N5" s="747"/>
      <c r="O5" s="591"/>
      <c r="P5" s="591"/>
      <c r="Q5" s="590"/>
      <c r="R5" s="590"/>
      <c r="S5" s="590"/>
      <c r="T5" s="591"/>
      <c r="U5" s="591"/>
      <c r="V5" s="591"/>
      <c r="W5" s="589"/>
      <c r="X5" s="589"/>
    </row>
    <row r="6" spans="1:28" ht="13.5" customHeight="1">
      <c r="A6" s="589"/>
      <c r="B6" s="907" t="s">
        <v>1698</v>
      </c>
      <c r="C6" s="1583" t="s">
        <v>145</v>
      </c>
      <c r="D6" s="1583"/>
      <c r="E6" s="748"/>
      <c r="F6" s="748"/>
      <c r="G6" s="748"/>
      <c r="H6" s="748"/>
      <c r="I6" s="747"/>
      <c r="J6" s="747"/>
      <c r="K6" s="747"/>
      <c r="L6" s="747"/>
      <c r="M6" s="747"/>
      <c r="N6" s="747"/>
      <c r="O6" s="591"/>
      <c r="P6" s="591"/>
      <c r="Q6" s="590"/>
      <c r="R6" s="590"/>
      <c r="S6" s="590"/>
      <c r="T6" s="591"/>
      <c r="U6" s="591"/>
      <c r="V6" s="591"/>
      <c r="W6" s="589"/>
      <c r="X6" s="589"/>
    </row>
    <row r="7" spans="1:28" ht="13.5" customHeight="1">
      <c r="A7" s="589"/>
      <c r="B7" s="749" t="str">
        <f>"As of "&amp;TEXT(Input!B15,"mmmm,yyyy")</f>
        <v>As of February,2026</v>
      </c>
      <c r="C7" s="589"/>
      <c r="D7" s="589"/>
      <c r="E7" s="592"/>
      <c r="F7" s="592"/>
      <c r="G7" s="592"/>
      <c r="H7" s="592"/>
      <c r="I7" s="589"/>
      <c r="J7" s="589"/>
      <c r="K7" s="589"/>
      <c r="L7" s="589"/>
      <c r="M7" s="589"/>
      <c r="N7" s="589"/>
      <c r="O7" s="589"/>
      <c r="P7" s="589"/>
      <c r="Q7" s="590"/>
      <c r="R7" s="590"/>
      <c r="S7" s="590"/>
      <c r="T7" s="589"/>
      <c r="U7" s="589"/>
      <c r="V7" s="589"/>
      <c r="W7" s="589"/>
      <c r="X7" s="589"/>
      <c r="Y7" s="447"/>
    </row>
    <row r="8" spans="1:28" ht="13.5" customHeight="1">
      <c r="A8" s="589"/>
      <c r="B8" s="1184"/>
      <c r="C8" s="1185"/>
      <c r="D8" s="1185"/>
      <c r="E8" s="1186"/>
      <c r="F8" s="1580" t="s">
        <v>78</v>
      </c>
      <c r="G8" s="1580"/>
      <c r="H8" s="1580"/>
      <c r="I8" s="1579" t="s">
        <v>1688</v>
      </c>
      <c r="J8" s="1579"/>
      <c r="K8" s="1579"/>
      <c r="L8" s="1581" t="s">
        <v>1689</v>
      </c>
      <c r="M8" s="1581"/>
      <c r="N8" s="1581"/>
      <c r="O8" s="1575" t="s">
        <v>1690</v>
      </c>
      <c r="P8" s="1575"/>
      <c r="Q8" s="590"/>
      <c r="R8" s="590"/>
      <c r="S8" s="590"/>
      <c r="T8" s="594" t="s">
        <v>1651</v>
      </c>
      <c r="U8" s="594" t="s">
        <v>1649</v>
      </c>
      <c r="V8" s="594" t="s">
        <v>1699</v>
      </c>
      <c r="W8" s="589"/>
      <c r="X8" s="589"/>
    </row>
    <row r="9" spans="1:28" ht="13.5" customHeight="1">
      <c r="A9" s="589"/>
      <c r="B9" s="1184"/>
      <c r="C9" s="1186" t="s">
        <v>1700</v>
      </c>
      <c r="D9" s="1186" t="s">
        <v>1701</v>
      </c>
      <c r="E9" s="1186" t="s">
        <v>1702</v>
      </c>
      <c r="F9" s="1187" t="s">
        <v>1653</v>
      </c>
      <c r="G9" s="1187" t="s">
        <v>1703</v>
      </c>
      <c r="H9" s="1187" t="s">
        <v>39</v>
      </c>
      <c r="I9" s="1188" t="s">
        <v>1704</v>
      </c>
      <c r="J9" s="1188" t="s">
        <v>1704</v>
      </c>
      <c r="K9" s="1188" t="s">
        <v>1705</v>
      </c>
      <c r="L9" s="1186" t="s">
        <v>1704</v>
      </c>
      <c r="M9" s="1186" t="s">
        <v>1704</v>
      </c>
      <c r="N9" s="1186" t="s">
        <v>1705</v>
      </c>
      <c r="O9" s="595" t="s">
        <v>1653</v>
      </c>
      <c r="P9" s="595" t="s">
        <v>39</v>
      </c>
      <c r="Q9" s="590"/>
      <c r="R9" s="596" t="s">
        <v>145</v>
      </c>
      <c r="S9" s="596" t="s">
        <v>145</v>
      </c>
      <c r="T9" s="594" t="s">
        <v>988</v>
      </c>
      <c r="U9" s="594" t="s">
        <v>1654</v>
      </c>
      <c r="V9" s="594" t="s">
        <v>1691</v>
      </c>
      <c r="W9" s="597"/>
      <c r="X9" s="598"/>
      <c r="Y9" s="45"/>
    </row>
    <row r="10" spans="1:28" s="50" customFormat="1" ht="13.5" customHeight="1">
      <c r="A10" s="599"/>
      <c r="B10" s="1189" t="s">
        <v>1694</v>
      </c>
      <c r="C10" s="1190" t="s">
        <v>1706</v>
      </c>
      <c r="D10" s="1190" t="s">
        <v>1707</v>
      </c>
      <c r="E10" s="1190" t="s">
        <v>1708</v>
      </c>
      <c r="F10" s="1191" t="s">
        <v>1709</v>
      </c>
      <c r="G10" s="1191" t="s">
        <v>1710</v>
      </c>
      <c r="H10" s="1191" t="s">
        <v>46</v>
      </c>
      <c r="I10" s="1192" t="s">
        <v>1711</v>
      </c>
      <c r="J10" s="1192" t="s">
        <v>1712</v>
      </c>
      <c r="K10" s="1192" t="s">
        <v>1713</v>
      </c>
      <c r="L10" s="1190" t="s">
        <v>1711</v>
      </c>
      <c r="M10" s="1190" t="s">
        <v>1712</v>
      </c>
      <c r="N10" s="1190" t="s">
        <v>1713</v>
      </c>
      <c r="O10" s="1065" t="s">
        <v>1709</v>
      </c>
      <c r="P10" s="1065" t="s">
        <v>46</v>
      </c>
      <c r="Q10" s="590"/>
      <c r="R10" s="596" t="s">
        <v>1714</v>
      </c>
      <c r="S10" s="596" t="s">
        <v>1715</v>
      </c>
      <c r="T10" s="1066" t="s">
        <v>992</v>
      </c>
      <c r="U10" s="1066" t="s">
        <v>1661</v>
      </c>
      <c r="V10" s="1066" t="s">
        <v>1661</v>
      </c>
      <c r="W10" s="600"/>
      <c r="X10" s="599"/>
      <c r="AA10" s="451"/>
    </row>
    <row r="11" spans="1:28" s="45" customFormat="1" ht="13.5" customHeight="1">
      <c r="A11" s="598"/>
      <c r="B11" s="1193" t="str">
        <f>IF(SwitchRentRollType="Summary",'Rent Roll Summary Input'!C8,'Rent Roll Detail Input'!C12)</f>
        <v>1 Bed / 1 Bath</v>
      </c>
      <c r="C11" s="1194">
        <f>IF(SwitchRentRollType="Summary",'Rent Roll Summary Input'!D8,COUNTIFS('Rent Roll Detail Input'!$H$12:$H$1011,B11,'Rent Roll Detail Input'!$H$12:$H$1011,"&lt;&gt;0"))</f>
        <v>2</v>
      </c>
      <c r="D11" s="1195">
        <f>IFERROR(IF(SwitchRentRollType="Summary",'Rent Roll Summary Input'!E8,AVERAGEIFS('Rent Roll Detail Input'!$I$12:$I$1011,'Rent Roll Detail Input'!$H$12:$H$1011,$B11)),"N/A")</f>
        <v>650</v>
      </c>
      <c r="E11" s="1196" t="str">
        <f>TEXT(R11*IF($C$4="Monthly",1,IF($C$4="Daily",1/30,12)),"$#,##0")&amp;" - "&amp;TEXT(S11*IF($C$4="Monthly",1,IF($C$4="Daily",1/30,12)),"$#,##0")</f>
        <v>$1,895 - $1,950</v>
      </c>
      <c r="F11" s="1197">
        <f>IFERROR(IF(SwitchRentRollType="Summary",'Rent Roll Summary Input'!$F8,AVERAGEIF('Rent Roll Detail Input'!$H$12:$H$1011,$B11,'Rent Roll Detail Input'!$J$12:$J$1011)),0)*IFERROR(IF($C$4="Monthly",1,IF($C$4="Daily",1/RRS_DayNum,12)),0)</f>
        <v>1922.5</v>
      </c>
      <c r="G11" s="1198">
        <f>IF($D11="N/A","N/A",IFERROR($F11/$D11,0))</f>
        <v>2.9576923076923078</v>
      </c>
      <c r="H11" s="1197">
        <f t="shared" ref="H11:H35" si="0">+$F11*$C11*IF($C$4="Monthly",1,IF($C$4="Daily",RRS_DayNum,1/12))</f>
        <v>3845</v>
      </c>
      <c r="I11" s="1199">
        <f>IFERROR(IF(SwitchRentRollType="Summary",'Rent Roll Summary Input'!$G8,AVERAGEIF('Rent Roll Detail Input'!$H$12:$H$1011,$B11,'Rent Roll Detail Input'!$K$12:$K$1011)),0)*IFERROR(IF($C$4="Monthly",1,IF($C$4="Daily",1/RRS_DayNum,12)),0)</f>
        <v>1922.5</v>
      </c>
      <c r="J11" s="1200">
        <f t="shared" ref="J11:J35" si="1">IF($D11="N/A","N/A",IFERROR($I11/$D11,0))</f>
        <v>2.9576923076923078</v>
      </c>
      <c r="K11" s="1199">
        <f t="shared" ref="K11:K35" si="2">+$I11*$C11*IF($C$4="Monthly",1,IF($C$4="Daily",RRS_DayNum,1/12))</f>
        <v>3845</v>
      </c>
      <c r="L11" s="1201">
        <f>IFERROR(IF(SwitchRentRollType="Summary",'Rent Roll Summary Input'!H8,AVERAGEIF('Rent Roll Detail Input'!$H$12:$H$1011,$B11,'Rent Roll Detail Input'!$L$12:$L$1011)),0)*IFERROR(IF($C$4="Monthly",1,IF($C$4="Daily",1/RRS_DayNum,12)),0)</f>
        <v>2295</v>
      </c>
      <c r="M11" s="1202">
        <f t="shared" ref="M11:M29" si="3">IF(D11="N/A","N/A",IFERROR(L11/D11,0))</f>
        <v>3.5307692307692307</v>
      </c>
      <c r="N11" s="1201">
        <f t="shared" ref="N11:N35" si="4">+L11*C11*IF($C$4="Monthly",1,IF($C$4="Daily",RRS_DayNum,1/12))</f>
        <v>4590</v>
      </c>
      <c r="O11" s="601">
        <f>IFERROR(IF(SwitchRentRollType="Summary",'Rent Roll Summary Input'!$I8,AVERAGEIF('Rent Roll Detail Input'!$H$12:$H$1011,$B11,'Rent Roll Detail Input'!$M$12:$M$1011)),0)*IFERROR(IF($C$4="Monthly",1,IF($C$4="Daily",1/RRS_DayNum,12)),0)</f>
        <v>0</v>
      </c>
      <c r="P11" s="601">
        <f t="shared" ref="P11:P35" si="5">+$O11*$C11*IF($C$4="Monthly",1,IF($C$4="Daily",RRS_DayNum,1/12))</f>
        <v>0</v>
      </c>
      <c r="Q11" s="590"/>
      <c r="R11" s="602">
        <f t="array" ref="R11">MIN(IF('Rent Roll Detail Input'!$H$12:$H$1011=$B11,IF(RRS_RentRange="Scheduled",'Rent Roll Detail Input'!$K$12:$K$1011,'Rent Roll Detail Input'!$J$12:$J$1011)))</f>
        <v>1895</v>
      </c>
      <c r="S11" s="602">
        <f t="array" ref="S11">MAX(IF('Rent Roll Detail Input'!$H$12:$H$1011=$B11,IF(RRS_RentRange="Scheduled",'Rent Roll Detail Input'!$K$12:$K$1011,'Rent Roll Detail Input'!$J$12:$J$1011)))</f>
        <v>1950</v>
      </c>
      <c r="T11" s="602">
        <f t="shared" ref="T11:T29" si="6">IF(D11="N/A","N/A",ROUND(D11*C11,0))</f>
        <v>1300</v>
      </c>
      <c r="U11" s="603">
        <f>IF(SwitchRentRollType="Detail",IFERROR(AVERAGEIFS('Rent Roll Detail Input'!$J$12:$J$1011,'Rent Roll Detail Input'!$H$12:$H$1011,$B11,'Rent Roll Detail Input'!$J$12:$J$1011,"&lt;&gt;0"),0),'Rent Roll Summary Input'!F8)</f>
        <v>1922.5</v>
      </c>
      <c r="V11" s="604">
        <f t="shared" ref="V11:V36" si="7">IFERROR(U11/D11,"")</f>
        <v>2.9576923076923078</v>
      </c>
      <c r="W11" s="605"/>
      <c r="X11" s="598"/>
      <c r="Y11" s="25"/>
      <c r="Z11" s="61"/>
      <c r="AA11" s="61"/>
      <c r="AB11" s="47"/>
    </row>
    <row r="12" spans="1:28" s="45" customFormat="1" ht="13.5" hidden="1" customHeight="1">
      <c r="A12" s="598"/>
      <c r="B12" s="1193">
        <f>IF(SwitchRentRollType="Summary",'Rent Roll Summary Input'!C9,'Rent Roll Detail Input'!C13)</f>
        <v>0</v>
      </c>
      <c r="C12" s="1203">
        <f>IF(SwitchRentRollType="Summary",'Rent Roll Summary Input'!D9,COUNTIFS('Rent Roll Detail Input'!$H$12:$H$1011,B12,'Rent Roll Detail Input'!$H$12:$H$1011,"&lt;&gt;0"))</f>
        <v>0</v>
      </c>
      <c r="D12" s="1204" t="str">
        <f>IFERROR(IF(SwitchRentRollType="Summary",'Rent Roll Summary Input'!E9,AVERAGEIFS('Rent Roll Detail Input'!$I$12:$I$1011,'Rent Roll Detail Input'!$H$12:$H$1011,$B12)),"N/A")</f>
        <v>N/A</v>
      </c>
      <c r="E12" s="1196" t="str">
        <f t="shared" ref="E12:E21" si="8">TEXT(R12*IF($C$4="Monthly",1,IF($C$4="Daily",1/RRS_DayNum,12)),"$#,##0")&amp;" - "&amp;TEXT(S12*IF($C$4="Monthly",1,IF($C$4="Daily",1/RRS_DayNum,12)),"$#,##0")</f>
        <v>$0 - $0</v>
      </c>
      <c r="F12" s="1197">
        <f>IFERROR(IF(SwitchRentRollType="Summary",'Rent Roll Summary Input'!$F9,AVERAGEIF('Rent Roll Detail Input'!$H$12:$H$1011,$B12,'Rent Roll Detail Input'!$J$12:$J$1011)),0)*IFERROR(IF($C$4="Monthly",1,IF($C$4="Daily",1/RRS_DayNum,12)),0)</f>
        <v>0</v>
      </c>
      <c r="G12" s="1198" t="str">
        <f t="shared" ref="G12:G35" si="9">IF($D12="N/A","N/A",IFERROR($F12/$D12,0))</f>
        <v>N/A</v>
      </c>
      <c r="H12" s="1197">
        <f t="shared" si="0"/>
        <v>0</v>
      </c>
      <c r="I12" s="1199">
        <f>IFERROR(IF(SwitchRentRollType="Summary",'Rent Roll Summary Input'!$G9,AVERAGEIF('Rent Roll Detail Input'!$H$12:$H$1011,$B12,'Rent Roll Detail Input'!$K$12:$K$1011)),0)*IFERROR(IF($C$4="Monthly",1,IF($C$4="Daily",1/RRS_DayNum,12)),0)</f>
        <v>0</v>
      </c>
      <c r="J12" s="1200" t="str">
        <f t="shared" si="1"/>
        <v>N/A</v>
      </c>
      <c r="K12" s="1199">
        <f t="shared" si="2"/>
        <v>0</v>
      </c>
      <c r="L12" s="1205">
        <f>IFERROR(IF(SwitchRentRollType="Summary",'Rent Roll Summary Input'!H9,AVERAGEIF('Rent Roll Detail Input'!$H$12:$H$1011,$B12,'Rent Roll Detail Input'!$L$12:$L$1011)),0)*IFERROR(IF($C$4="Monthly",1,IF($C$4="Daily",1/RRS_DayNum,12)),0)</f>
        <v>0</v>
      </c>
      <c r="M12" s="1202" t="str">
        <f t="shared" si="3"/>
        <v>N/A</v>
      </c>
      <c r="N12" s="1201">
        <f t="shared" si="4"/>
        <v>0</v>
      </c>
      <c r="O12" s="601">
        <f>IFERROR(IF(SwitchRentRollType="Summary",'Rent Roll Summary Input'!$I9,AVERAGEIF('Rent Roll Detail Input'!$H$12:$H$1011,$B12,'Rent Roll Detail Input'!$M$12:$M$1011)),0)*IFERROR(IF($C$4="Monthly",1,IF($C$4="Daily",1/RRS_DayNum,12)),0)</f>
        <v>0</v>
      </c>
      <c r="P12" s="601">
        <f t="shared" si="5"/>
        <v>0</v>
      </c>
      <c r="Q12" s="590"/>
      <c r="R12" s="606">
        <f t="array" ref="R12">MIN(IF('Rent Roll Detail Input'!$H$12:$H$1011=$B12,IF(RRS_RentRange="Scheduled",'Rent Roll Detail Input'!$K$12:$K$1011,'Rent Roll Detail Input'!$J$12:$J$1011)))</f>
        <v>0</v>
      </c>
      <c r="S12" s="606">
        <f t="array" ref="S12">MAX(IF('Rent Roll Detail Input'!$H$12:$H$1011=$B12,IF(RRS_RentRange="Scheduled",'Rent Roll Detail Input'!$K$12:$K$1011,'Rent Roll Detail Input'!$J$12:$J$1011)))</f>
        <v>0</v>
      </c>
      <c r="T12" s="606" t="str">
        <f t="shared" si="6"/>
        <v>N/A</v>
      </c>
      <c r="U12" s="603">
        <f>IF(SwitchRentRollType="Detail",IFERROR(AVERAGEIFS('Rent Roll Detail Input'!$J$12:$J$1011,'Rent Roll Detail Input'!$H$12:$H$1011,$B12,'Rent Roll Detail Input'!$J$12:$J$1011,"&lt;&gt;0"),0),'Rent Roll Summary Input'!F9)</f>
        <v>0</v>
      </c>
      <c r="V12" s="607" t="str">
        <f t="shared" si="7"/>
        <v/>
      </c>
      <c r="W12" s="605"/>
      <c r="X12" s="605"/>
      <c r="Y12" s="61"/>
      <c r="Z12" s="61"/>
      <c r="AA12" s="61"/>
      <c r="AB12" s="47"/>
    </row>
    <row r="13" spans="1:28" s="45" customFormat="1" ht="13.5" hidden="1" customHeight="1">
      <c r="A13" s="598"/>
      <c r="B13" s="1193">
        <f>IF(SwitchRentRollType="Summary",'Rent Roll Summary Input'!C10,'Rent Roll Detail Input'!C14)</f>
        <v>0</v>
      </c>
      <c r="C13" s="1203">
        <f>IF(SwitchRentRollType="Summary",'Rent Roll Summary Input'!D10,COUNTIFS('Rent Roll Detail Input'!$H$12:$H$1011,B13,'Rent Roll Detail Input'!$H$12:$H$1011,"&lt;&gt;0"))</f>
        <v>0</v>
      </c>
      <c r="D13" s="1204" t="str">
        <f>IFERROR(IF(SwitchRentRollType="Summary",'Rent Roll Summary Input'!E10,AVERAGEIFS('Rent Roll Detail Input'!$I$12:$I$1011,'Rent Roll Detail Input'!$H$12:$H$1011,$B13)),"N/A")</f>
        <v>N/A</v>
      </c>
      <c r="E13" s="1196" t="str">
        <f t="shared" si="8"/>
        <v>$0 - $0</v>
      </c>
      <c r="F13" s="1197">
        <f>IFERROR(IF(SwitchRentRollType="Summary",'Rent Roll Summary Input'!$F10,AVERAGEIF('Rent Roll Detail Input'!$H$12:$H$1011,$B13,'Rent Roll Detail Input'!$J$12:$J$1011)),0)*IFERROR(IF($C$4="Monthly",1,IF($C$4="Daily",1/RRS_DayNum,12)),0)</f>
        <v>0</v>
      </c>
      <c r="G13" s="1198" t="str">
        <f t="shared" si="9"/>
        <v>N/A</v>
      </c>
      <c r="H13" s="1197">
        <f t="shared" si="0"/>
        <v>0</v>
      </c>
      <c r="I13" s="1199">
        <f>IFERROR(IF(SwitchRentRollType="Summary",'Rent Roll Summary Input'!$G10,AVERAGEIF('Rent Roll Detail Input'!$H$12:$H$1011,$B13,'Rent Roll Detail Input'!$K$12:$K$1011)),0)*IFERROR(IF($C$4="Monthly",1,IF($C$4="Daily",1/RRS_DayNum,12)),0)</f>
        <v>0</v>
      </c>
      <c r="J13" s="1200" t="str">
        <f t="shared" si="1"/>
        <v>N/A</v>
      </c>
      <c r="K13" s="1199">
        <f t="shared" si="2"/>
        <v>0</v>
      </c>
      <c r="L13" s="1205">
        <f>IFERROR(IF(SwitchRentRollType="Summary",'Rent Roll Summary Input'!H10,AVERAGEIF('Rent Roll Detail Input'!$H$12:$H$1011,$B13,'Rent Roll Detail Input'!$L$12:$L$1011)),0)*IFERROR(IF($C$4="Monthly",1,IF($C$4="Daily",1/RRS_DayNum,12)),0)</f>
        <v>0</v>
      </c>
      <c r="M13" s="1202" t="str">
        <f t="shared" si="3"/>
        <v>N/A</v>
      </c>
      <c r="N13" s="1201">
        <f t="shared" si="4"/>
        <v>0</v>
      </c>
      <c r="O13" s="601">
        <f>IFERROR(IF(SwitchRentRollType="Summary",'Rent Roll Summary Input'!$I10,AVERAGEIF('Rent Roll Detail Input'!$H$12:$H$1011,$B13,'Rent Roll Detail Input'!$M$12:$M$1011)),0)*IFERROR(IF($C$4="Monthly",1,IF($C$4="Daily",1/RRS_DayNum,12)),0)</f>
        <v>0</v>
      </c>
      <c r="P13" s="601">
        <f t="shared" si="5"/>
        <v>0</v>
      </c>
      <c r="Q13" s="590"/>
      <c r="R13" s="606">
        <f t="array" ref="R13">MIN(IF('Rent Roll Detail Input'!$H$12:$H$1011=$B13,IF(RRS_RentRange="Scheduled",'Rent Roll Detail Input'!$K$12:$K$1011,'Rent Roll Detail Input'!$J$12:$J$1011)))</f>
        <v>0</v>
      </c>
      <c r="S13" s="606">
        <f t="array" ref="S13">MAX(IF('Rent Roll Detail Input'!$H$12:$H$1011=$B13,IF(RRS_RentRange="Scheduled",'Rent Roll Detail Input'!$K$12:$K$1011,'Rent Roll Detail Input'!$J$12:$J$1011)))</f>
        <v>0</v>
      </c>
      <c r="T13" s="606" t="str">
        <f t="shared" si="6"/>
        <v>N/A</v>
      </c>
      <c r="U13" s="603">
        <f>IF(SwitchRentRollType="Detail",IFERROR(AVERAGEIFS('Rent Roll Detail Input'!$J$12:$J$1011,'Rent Roll Detail Input'!$H$12:$H$1011,$B13,'Rent Roll Detail Input'!$J$12:$J$1011,"&lt;&gt;0"),0),'Rent Roll Summary Input'!F10)</f>
        <v>0</v>
      </c>
      <c r="V13" s="607" t="str">
        <f t="shared" si="7"/>
        <v/>
      </c>
      <c r="W13" s="605"/>
      <c r="X13" s="605"/>
      <c r="Y13" s="61"/>
      <c r="Z13" s="61"/>
      <c r="AA13" s="61"/>
      <c r="AB13" s="47"/>
    </row>
    <row r="14" spans="1:28" s="45" customFormat="1" ht="13.5" hidden="1" customHeight="1">
      <c r="A14" s="598"/>
      <c r="B14" s="1193">
        <f>IF(SwitchRentRollType="Summary",'Rent Roll Summary Input'!C11,'Rent Roll Detail Input'!C15)</f>
        <v>0</v>
      </c>
      <c r="C14" s="1203">
        <f>IF(SwitchRentRollType="Summary",'Rent Roll Summary Input'!D11,COUNTIFS('Rent Roll Detail Input'!$H$12:$H$1011,B14,'Rent Roll Detail Input'!$H$12:$H$1011,"&lt;&gt;0"))</f>
        <v>0</v>
      </c>
      <c r="D14" s="1204" t="str">
        <f>IFERROR(IF(SwitchRentRollType="Summary",'Rent Roll Summary Input'!E11,AVERAGEIFS('Rent Roll Detail Input'!$I$12:$I$1011,'Rent Roll Detail Input'!$H$12:$H$1011,$B14)),"N/A")</f>
        <v>N/A</v>
      </c>
      <c r="E14" s="1196" t="str">
        <f t="shared" si="8"/>
        <v>$0 - $0</v>
      </c>
      <c r="F14" s="1197">
        <f>IFERROR(IF(SwitchRentRollType="Summary",'Rent Roll Summary Input'!$F11,AVERAGEIF('Rent Roll Detail Input'!$H$12:$H$1011,$B14,'Rent Roll Detail Input'!$J$12:$J$1011)),0)*IFERROR(IF($C$4="Monthly",1,IF($C$4="Daily",1/RRS_DayNum,12)),0)</f>
        <v>0</v>
      </c>
      <c r="G14" s="1198" t="str">
        <f t="shared" si="9"/>
        <v>N/A</v>
      </c>
      <c r="H14" s="1197">
        <f t="shared" si="0"/>
        <v>0</v>
      </c>
      <c r="I14" s="1199">
        <f>IFERROR(IF(SwitchRentRollType="Summary",'Rent Roll Summary Input'!$G11,AVERAGEIF('Rent Roll Detail Input'!$H$12:$H$1011,$B14,'Rent Roll Detail Input'!$K$12:$K$1011)),0)*IFERROR(IF($C$4="Monthly",1,IF($C$4="Daily",1/RRS_DayNum,12)),0)</f>
        <v>0</v>
      </c>
      <c r="J14" s="1200" t="str">
        <f t="shared" si="1"/>
        <v>N/A</v>
      </c>
      <c r="K14" s="1199">
        <f t="shared" si="2"/>
        <v>0</v>
      </c>
      <c r="L14" s="1205">
        <f>IFERROR(IF(SwitchRentRollType="Summary",'Rent Roll Summary Input'!H11,AVERAGEIF('Rent Roll Detail Input'!$H$12:$H$1011,$B14,'Rent Roll Detail Input'!$L$12:$L$1011)),0)*IFERROR(IF($C$4="Monthly",1,IF($C$4="Daily",1/RRS_DayNum,12)),0)</f>
        <v>0</v>
      </c>
      <c r="M14" s="1202" t="str">
        <f t="shared" si="3"/>
        <v>N/A</v>
      </c>
      <c r="N14" s="1201">
        <f t="shared" si="4"/>
        <v>0</v>
      </c>
      <c r="O14" s="601">
        <f>IFERROR(IF(SwitchRentRollType="Summary",'Rent Roll Summary Input'!$I11,AVERAGEIF('Rent Roll Detail Input'!$H$12:$H$1011,$B14,'Rent Roll Detail Input'!$M$12:$M$1011)),0)*IFERROR(IF($C$4="Monthly",1,IF($C$4="Daily",1/RRS_DayNum,12)),0)</f>
        <v>0</v>
      </c>
      <c r="P14" s="601">
        <f t="shared" si="5"/>
        <v>0</v>
      </c>
      <c r="Q14" s="590"/>
      <c r="R14" s="606">
        <f t="array" ref="R14">MIN(IF('Rent Roll Detail Input'!$H$12:$H$1011=$B14,IF(RRS_RentRange="Scheduled",'Rent Roll Detail Input'!$K$12:$K$1011,'Rent Roll Detail Input'!$J$12:$J$1011)))</f>
        <v>0</v>
      </c>
      <c r="S14" s="606">
        <f t="array" ref="S14">MAX(IF('Rent Roll Detail Input'!$H$12:$H$1011=$B14,IF(RRS_RentRange="Scheduled",'Rent Roll Detail Input'!$K$12:$K$1011,'Rent Roll Detail Input'!$J$12:$J$1011)))</f>
        <v>0</v>
      </c>
      <c r="T14" s="606" t="str">
        <f t="shared" si="6"/>
        <v>N/A</v>
      </c>
      <c r="U14" s="603">
        <f>IF(SwitchRentRollType="Detail",IFERROR(AVERAGEIFS('Rent Roll Detail Input'!$J$12:$J$1011,'Rent Roll Detail Input'!$H$12:$H$1011,$B14,'Rent Roll Detail Input'!$J$12:$J$1011,"&lt;&gt;0"),0),'Rent Roll Summary Input'!F11)</f>
        <v>0</v>
      </c>
      <c r="V14" s="607" t="str">
        <f t="shared" si="7"/>
        <v/>
      </c>
      <c r="W14" s="605"/>
      <c r="X14" s="605"/>
      <c r="Y14" s="61"/>
      <c r="Z14" s="61"/>
      <c r="AA14" s="61"/>
      <c r="AB14" s="47"/>
    </row>
    <row r="15" spans="1:28" s="45" customFormat="1" ht="13.5" hidden="1" customHeight="1">
      <c r="A15" s="598"/>
      <c r="B15" s="1193">
        <f>IF(SwitchRentRollType="Summary",'Rent Roll Summary Input'!C12,'Rent Roll Detail Input'!C16)</f>
        <v>0</v>
      </c>
      <c r="C15" s="1203">
        <f>IF(SwitchRentRollType="Summary",'Rent Roll Summary Input'!D12,COUNTIFS('Rent Roll Detail Input'!$H$12:$H$1011,B15,'Rent Roll Detail Input'!$H$12:$H$1011,"&lt;&gt;0"))</f>
        <v>0</v>
      </c>
      <c r="D15" s="1204" t="str">
        <f>IFERROR(IF(SwitchRentRollType="Summary",'Rent Roll Summary Input'!E12,AVERAGEIFS('Rent Roll Detail Input'!$I$12:$I$1011,'Rent Roll Detail Input'!$H$12:$H$1011,$B15)),"N/A")</f>
        <v>N/A</v>
      </c>
      <c r="E15" s="1196" t="str">
        <f t="shared" si="8"/>
        <v>$0 - $0</v>
      </c>
      <c r="F15" s="1197">
        <f>IFERROR(IF(SwitchRentRollType="Summary",'Rent Roll Summary Input'!$F12,AVERAGEIF('Rent Roll Detail Input'!$H$12:$H$1011,$B15,'Rent Roll Detail Input'!$J$12:$J$1011)),0)*IFERROR(IF($C$4="Monthly",1,IF($C$4="Daily",1/RRS_DayNum,12)),0)</f>
        <v>0</v>
      </c>
      <c r="G15" s="1198" t="str">
        <f t="shared" si="9"/>
        <v>N/A</v>
      </c>
      <c r="H15" s="1197">
        <f t="shared" si="0"/>
        <v>0</v>
      </c>
      <c r="I15" s="1199">
        <f>IFERROR(IF(SwitchRentRollType="Summary",'Rent Roll Summary Input'!$G12,AVERAGEIF('Rent Roll Detail Input'!$H$12:$H$1011,$B15,'Rent Roll Detail Input'!$K$12:$K$1011)),0)*IFERROR(IF($C$4="Monthly",1,IF($C$4="Daily",1/RRS_DayNum,12)),0)</f>
        <v>0</v>
      </c>
      <c r="J15" s="1200" t="str">
        <f t="shared" si="1"/>
        <v>N/A</v>
      </c>
      <c r="K15" s="1199">
        <f t="shared" si="2"/>
        <v>0</v>
      </c>
      <c r="L15" s="1205">
        <f>IFERROR(IF(SwitchRentRollType="Summary",'Rent Roll Summary Input'!H12,AVERAGEIF('Rent Roll Detail Input'!$H$12:$H$1011,$B15,'Rent Roll Detail Input'!$L$12:$L$1011)),0)*IFERROR(IF($C$4="Monthly",1,IF($C$4="Daily",1/RRS_DayNum,12)),0)</f>
        <v>0</v>
      </c>
      <c r="M15" s="1202" t="str">
        <f t="shared" si="3"/>
        <v>N/A</v>
      </c>
      <c r="N15" s="1201">
        <f t="shared" si="4"/>
        <v>0</v>
      </c>
      <c r="O15" s="601">
        <f>IFERROR(IF(SwitchRentRollType="Summary",'Rent Roll Summary Input'!$I12,AVERAGEIF('Rent Roll Detail Input'!$H$12:$H$1011,$B15,'Rent Roll Detail Input'!$M$12:$M$1011)),0)*IFERROR(IF($C$4="Monthly",1,IF($C$4="Daily",1/RRS_DayNum,12)),0)</f>
        <v>0</v>
      </c>
      <c r="P15" s="601">
        <f t="shared" si="5"/>
        <v>0</v>
      </c>
      <c r="Q15" s="590"/>
      <c r="R15" s="606">
        <f t="array" ref="R15">MIN(IF('Rent Roll Detail Input'!$H$12:$H$1011=$B15,IF(RRS_RentRange="Scheduled",'Rent Roll Detail Input'!$K$12:$K$1011,'Rent Roll Detail Input'!$J$12:$J$1011)))</f>
        <v>0</v>
      </c>
      <c r="S15" s="606">
        <f t="array" ref="S15">MAX(IF('Rent Roll Detail Input'!$H$12:$H$1011=$B15,IF(RRS_RentRange="Scheduled",'Rent Roll Detail Input'!$K$12:$K$1011,'Rent Roll Detail Input'!$J$12:$J$1011)))</f>
        <v>0</v>
      </c>
      <c r="T15" s="606" t="str">
        <f t="shared" si="6"/>
        <v>N/A</v>
      </c>
      <c r="U15" s="603">
        <f>IF(SwitchRentRollType="Detail",IFERROR(AVERAGEIFS('Rent Roll Detail Input'!$J$12:$J$1011,'Rent Roll Detail Input'!$H$12:$H$1011,$B15,'Rent Roll Detail Input'!$J$12:$J$1011,"&lt;&gt;0"),0),'Rent Roll Summary Input'!F12)</f>
        <v>0</v>
      </c>
      <c r="V15" s="607" t="str">
        <f t="shared" si="7"/>
        <v/>
      </c>
      <c r="W15" s="605"/>
      <c r="X15" s="605"/>
      <c r="Y15" s="61"/>
      <c r="Z15" s="61"/>
      <c r="AA15" s="61"/>
      <c r="AB15" s="47"/>
    </row>
    <row r="16" spans="1:28" s="45" customFormat="1" ht="13.5" customHeight="1">
      <c r="A16" s="598"/>
      <c r="B16" s="1193" t="str">
        <f>IF(SwitchRentRollType="Summary",'Rent Roll Summary Input'!C19,'Rent Roll Detail Input'!C17)</f>
        <v>2 Bed / 1 Bath</v>
      </c>
      <c r="C16" s="1203">
        <f>IF(SwitchRentRollType="Summary",'Rent Roll Summary Input'!D19,COUNTIFS('Rent Roll Detail Input'!$H$12:$H$1011,B16,'Rent Roll Detail Input'!$H$12:$H$1011,"&lt;&gt;0"))</f>
        <v>22</v>
      </c>
      <c r="D16" s="1204">
        <f>IFERROR(IF(SwitchRentRollType="Summary",'Rent Roll Summary Input'!E19,AVERAGEIFS('Rent Roll Detail Input'!$I$12:$I$1011,'Rent Roll Detail Input'!$H$12:$H$1011,$B16)),"N/A")</f>
        <v>750</v>
      </c>
      <c r="E16" s="1196" t="str">
        <f t="shared" si="8"/>
        <v>$900 - $2,630</v>
      </c>
      <c r="F16" s="1197">
        <f>IFERROR(IF(SwitchRentRollType="Summary",'Rent Roll Summary Input'!$F19,AVERAGEIF('Rent Roll Detail Input'!$H$12:$H$1011,$B16,'Rent Roll Detail Input'!$J$12:$J$1011)),0)*IFERROR(IF($C$4="Monthly",1,IF($C$4="Daily",1/RRS_DayNum,12)),0)</f>
        <v>2162.909090909091</v>
      </c>
      <c r="G16" s="1198">
        <f t="shared" si="9"/>
        <v>2.8838787878787882</v>
      </c>
      <c r="H16" s="1197">
        <f t="shared" si="0"/>
        <v>47584</v>
      </c>
      <c r="I16" s="1199">
        <f>IFERROR(IF(SwitchRentRollType="Summary",'Rent Roll Summary Input'!$G19,AVERAGEIF('Rent Roll Detail Input'!$H$12:$H$1011,$B16,'Rent Roll Detail Input'!$K$12:$K$1011)),0)*IFERROR(IF($C$4="Monthly",1,IF($C$4="Daily",1/RRS_DayNum,12)),0)</f>
        <v>2162.909090909091</v>
      </c>
      <c r="J16" s="1200">
        <f t="shared" si="1"/>
        <v>2.8838787878787882</v>
      </c>
      <c r="K16" s="1199">
        <f t="shared" si="2"/>
        <v>47584</v>
      </c>
      <c r="L16" s="1205">
        <f>IFERROR(IF(SwitchRentRollType="Summary",'Rent Roll Summary Input'!H19,AVERAGEIF('Rent Roll Detail Input'!$H$12:$H$1011,$B16,'Rent Roll Detail Input'!$L$12:$L$1011)),0)*IFERROR(IF($C$4="Monthly",1,IF($C$4="Daily",1/RRS_DayNum,12)),0)</f>
        <v>2650</v>
      </c>
      <c r="M16" s="1202">
        <f t="shared" si="3"/>
        <v>3.5333333333333332</v>
      </c>
      <c r="N16" s="1201">
        <f t="shared" si="4"/>
        <v>58300</v>
      </c>
      <c r="O16" s="601">
        <f>IFERROR(IF(SwitchRentRollType="Summary",'Rent Roll Summary Input'!$I19,AVERAGEIF('Rent Roll Detail Input'!$H$12:$H$1011,$B16,'Rent Roll Detail Input'!$M$12:$M$1011)),0)*IFERROR(IF($C$4="Monthly",1,IF($C$4="Daily",1/RRS_DayNum,12)),0)</f>
        <v>0</v>
      </c>
      <c r="P16" s="601">
        <f t="shared" si="5"/>
        <v>0</v>
      </c>
      <c r="Q16" s="590"/>
      <c r="R16" s="606">
        <f t="array" ref="R16">MIN(IF('Rent Roll Detail Input'!$H$12:$H$1011=$B16,IF(RRS_RentRange="Scheduled",'Rent Roll Detail Input'!$K$12:$K$1011,'Rent Roll Detail Input'!$J$12:$J$1011)))</f>
        <v>900</v>
      </c>
      <c r="S16" s="606">
        <f t="array" ref="S16">MAX(IF('Rent Roll Detail Input'!$H$12:$H$1011=$B16,IF(RRS_RentRange="Scheduled",'Rent Roll Detail Input'!$K$12:$K$1011,'Rent Roll Detail Input'!$J$12:$J$1011)))</f>
        <v>2630</v>
      </c>
      <c r="T16" s="606">
        <f t="shared" si="6"/>
        <v>16500</v>
      </c>
      <c r="U16" s="603">
        <f>IF(SwitchRentRollType="Detail",IFERROR(AVERAGEIFS('Rent Roll Detail Input'!$J$12:$J$1011,'Rent Roll Detail Input'!$H$12:$H$1011,$B16,'Rent Roll Detail Input'!$J$12:$J$1011,"&lt;&gt;0"),0),'Rent Roll Summary Input'!F19)</f>
        <v>2162.909090909091</v>
      </c>
      <c r="V16" s="607">
        <f t="shared" si="7"/>
        <v>2.8838787878787882</v>
      </c>
      <c r="W16" s="605"/>
      <c r="X16" s="605"/>
      <c r="Y16" s="61"/>
      <c r="Z16" s="61"/>
      <c r="AA16" s="61"/>
      <c r="AB16" s="47"/>
    </row>
    <row r="17" spans="1:30" s="45" customFormat="1" ht="13.5" customHeight="1">
      <c r="A17" s="598"/>
      <c r="B17" s="1193" t="str">
        <f>IF(SwitchRentRollType="Summary",'Rent Roll Summary Input'!C20,'Rent Roll Detail Input'!C18)</f>
        <v>2 Bed / 1 Bath (vacant)</v>
      </c>
      <c r="C17" s="1203">
        <f>IF(SwitchRentRollType="Summary",'Rent Roll Summary Input'!D20,COUNTIFS('Rent Roll Detail Input'!$H$12:$H$1011,B17,'Rent Roll Detail Input'!$H$12:$H$1011,"&lt;&gt;0"))</f>
        <v>2</v>
      </c>
      <c r="D17" s="1204">
        <f>IFERROR(IF(SwitchRentRollType="Summary",'Rent Roll Summary Input'!E20,AVERAGEIFS('Rent Roll Detail Input'!$I$12:$I$1011,'Rent Roll Detail Input'!$H$12:$H$1011,$B17)),"N/A")</f>
        <v>750</v>
      </c>
      <c r="E17" s="1196" t="str">
        <f t="shared" si="8"/>
        <v>$2,650 - $2,650</v>
      </c>
      <c r="F17" s="1197">
        <f>IFERROR(IF(SwitchRentRollType="Summary",'Rent Roll Summary Input'!$F20,AVERAGEIF('Rent Roll Detail Input'!$H$12:$H$1011,$B17,'Rent Roll Detail Input'!$J$12:$J$1011)),0)*IFERROR(IF($C$4="Monthly",1,IF($C$4="Daily",1/RRS_DayNum,12)),0)</f>
        <v>0</v>
      </c>
      <c r="G17" s="1198">
        <f t="shared" si="9"/>
        <v>0</v>
      </c>
      <c r="H17" s="1197">
        <f t="shared" si="0"/>
        <v>0</v>
      </c>
      <c r="I17" s="1199">
        <f>IFERROR(IF(SwitchRentRollType="Summary",'Rent Roll Summary Input'!$G20,AVERAGEIF('Rent Roll Detail Input'!$H$12:$H$1011,$B17,'Rent Roll Detail Input'!$K$12:$K$1011)),0)*IFERROR(IF($C$4="Monthly",1,IF($C$4="Daily",1/RRS_DayNum,12)),0)</f>
        <v>2650</v>
      </c>
      <c r="J17" s="1200">
        <f t="shared" si="1"/>
        <v>3.5333333333333332</v>
      </c>
      <c r="K17" s="1199">
        <f t="shared" si="2"/>
        <v>5300</v>
      </c>
      <c r="L17" s="1205">
        <f>IFERROR(IF(SwitchRentRollType="Summary",'Rent Roll Summary Input'!H20,AVERAGEIF('Rent Roll Detail Input'!$H$12:$H$1011,$B17,'Rent Roll Detail Input'!$L$12:$L$1011)),0)*IFERROR(IF($C$4="Monthly",1,IF($C$4="Daily",1/RRS_DayNum,12)),0)</f>
        <v>2650</v>
      </c>
      <c r="M17" s="1202">
        <f t="shared" si="3"/>
        <v>3.5333333333333332</v>
      </c>
      <c r="N17" s="1201">
        <f t="shared" si="4"/>
        <v>5300</v>
      </c>
      <c r="O17" s="601">
        <f>IFERROR(IF(SwitchRentRollType="Summary",'Rent Roll Summary Input'!$I20,AVERAGEIF('Rent Roll Detail Input'!$H$12:$H$1011,$B17,'Rent Roll Detail Input'!$M$12:$M$1011)),0)*IFERROR(IF($C$4="Monthly",1,IF($C$4="Daily",1/RRS_DayNum,12)),0)</f>
        <v>0</v>
      </c>
      <c r="P17" s="601">
        <f t="shared" si="5"/>
        <v>0</v>
      </c>
      <c r="Q17" s="590"/>
      <c r="R17" s="606">
        <f t="array" ref="R17">MIN(IF('Rent Roll Detail Input'!$H$12:$H$1011=$B17,IF(RRS_RentRange="Scheduled",'Rent Roll Detail Input'!$K$12:$K$1011,'Rent Roll Detail Input'!$J$12:$J$1011)))</f>
        <v>2650</v>
      </c>
      <c r="S17" s="606">
        <f t="array" ref="S17">MAX(IF('Rent Roll Detail Input'!$H$12:$H$1011=$B17,IF(RRS_RentRange="Scheduled",'Rent Roll Detail Input'!$K$12:$K$1011,'Rent Roll Detail Input'!$J$12:$J$1011)))</f>
        <v>2650</v>
      </c>
      <c r="T17" s="606">
        <f t="shared" si="6"/>
        <v>1500</v>
      </c>
      <c r="U17" s="603">
        <f>IF(SwitchRentRollType="Detail",IFERROR(AVERAGEIFS('Rent Roll Detail Input'!$J$12:$J$1011,'Rent Roll Detail Input'!$H$12:$H$1011,$B17,'Rent Roll Detail Input'!$J$12:$J$1011,"&lt;&gt;0"),0),'Rent Roll Summary Input'!F20)</f>
        <v>0</v>
      </c>
      <c r="V17" s="607">
        <f t="shared" si="7"/>
        <v>0</v>
      </c>
      <c r="W17" s="605"/>
      <c r="X17" s="605"/>
      <c r="Y17" s="61"/>
      <c r="Z17" s="61"/>
      <c r="AA17" s="61"/>
      <c r="AB17" s="47"/>
    </row>
    <row r="18" spans="1:30" s="45" customFormat="1" ht="13.5" hidden="1" customHeight="1">
      <c r="A18" s="598"/>
      <c r="B18" s="1193">
        <f>IF(SwitchRentRollType="Summary",'Rent Roll Summary Input'!C21,'Rent Roll Detail Input'!C19)</f>
        <v>0</v>
      </c>
      <c r="C18" s="1203">
        <f>IF(SwitchRentRollType="Summary",'Rent Roll Summary Input'!D21,COUNTIFS('Rent Roll Detail Input'!$H$12:$H$1011,B18,'Rent Roll Detail Input'!$H$12:$H$1011,"&lt;&gt;0"))</f>
        <v>0</v>
      </c>
      <c r="D18" s="1204" t="str">
        <f>IFERROR(IF(SwitchRentRollType="Summary",'Rent Roll Summary Input'!E21,AVERAGEIFS('Rent Roll Detail Input'!$I$12:$I$1011,'Rent Roll Detail Input'!$H$12:$H$1011,$B18)),"N/A")</f>
        <v>N/A</v>
      </c>
      <c r="E18" s="1196" t="str">
        <f t="shared" si="8"/>
        <v>$0 - $0</v>
      </c>
      <c r="F18" s="1197">
        <f>IFERROR(IF(SwitchRentRollType="Summary",'Rent Roll Summary Input'!$F21,AVERAGEIF('Rent Roll Detail Input'!$H$12:$H$1011,$B18,'Rent Roll Detail Input'!$J$12:$J$1011)),0)*IFERROR(IF($C$4="Monthly",1,IF($C$4="Daily",1/RRS_DayNum,12)),0)</f>
        <v>0</v>
      </c>
      <c r="G18" s="1198" t="str">
        <f t="shared" si="9"/>
        <v>N/A</v>
      </c>
      <c r="H18" s="1197">
        <f t="shared" si="0"/>
        <v>0</v>
      </c>
      <c r="I18" s="1199">
        <f>IFERROR(IF(SwitchRentRollType="Summary",'Rent Roll Summary Input'!$G21,AVERAGEIF('Rent Roll Detail Input'!$H$12:$H$1011,$B18,'Rent Roll Detail Input'!$K$12:$K$1011)),0)*IFERROR(IF($C$4="Monthly",1,IF($C$4="Daily",1/RRS_DayNum,12)),0)</f>
        <v>0</v>
      </c>
      <c r="J18" s="1200" t="str">
        <f t="shared" si="1"/>
        <v>N/A</v>
      </c>
      <c r="K18" s="1199">
        <f t="shared" si="2"/>
        <v>0</v>
      </c>
      <c r="L18" s="1205">
        <f>IFERROR(IF(SwitchRentRollType="Summary",'Rent Roll Summary Input'!H21,AVERAGEIF('Rent Roll Detail Input'!$H$12:$H$1011,$B18,'Rent Roll Detail Input'!$L$12:$L$1011)),0)*IFERROR(IF($C$4="Monthly",1,IF($C$4="Daily",1/RRS_DayNum,12)),0)</f>
        <v>0</v>
      </c>
      <c r="M18" s="1202" t="str">
        <f t="shared" si="3"/>
        <v>N/A</v>
      </c>
      <c r="N18" s="1201">
        <f t="shared" si="4"/>
        <v>0</v>
      </c>
      <c r="O18" s="601">
        <f>IFERROR(IF(SwitchRentRollType="Summary",'Rent Roll Summary Input'!$I21,AVERAGEIF('Rent Roll Detail Input'!$H$12:$H$1011,$B18,'Rent Roll Detail Input'!$M$12:$M$1011)),0)*IFERROR(IF($C$4="Monthly",1,IF($C$4="Daily",1/RRS_DayNum,12)),0)</f>
        <v>0</v>
      </c>
      <c r="P18" s="601">
        <f t="shared" si="5"/>
        <v>0</v>
      </c>
      <c r="Q18" s="590"/>
      <c r="R18" s="606">
        <f t="array" ref="R18">MIN(IF('Rent Roll Detail Input'!$H$12:$H$1011=$B18,IF(RRS_RentRange="Scheduled",'Rent Roll Detail Input'!$K$12:$K$1011,'Rent Roll Detail Input'!$J$12:$J$1011)))</f>
        <v>0</v>
      </c>
      <c r="S18" s="606">
        <f t="array" ref="S18">MAX(IF('Rent Roll Detail Input'!$H$12:$H$1011=$B18,IF(RRS_RentRange="Scheduled",'Rent Roll Detail Input'!$K$12:$K$1011,'Rent Roll Detail Input'!$J$12:$J$1011)))</f>
        <v>0</v>
      </c>
      <c r="T18" s="606" t="str">
        <f t="shared" si="6"/>
        <v>N/A</v>
      </c>
      <c r="U18" s="603">
        <f>IF(SwitchRentRollType="Detail",IFERROR(AVERAGEIFS('Rent Roll Detail Input'!$J$12:$J$1011,'Rent Roll Detail Input'!$H$12:$H$1011,$B18,'Rent Roll Detail Input'!$J$12:$J$1011,"&lt;&gt;0"),0),'Rent Roll Summary Input'!F21)</f>
        <v>0</v>
      </c>
      <c r="V18" s="607" t="str">
        <f t="shared" si="7"/>
        <v/>
      </c>
      <c r="W18" s="605"/>
      <c r="X18" s="605"/>
      <c r="Y18" s="61"/>
      <c r="Z18" s="61"/>
      <c r="AA18" s="61"/>
      <c r="AB18" s="47"/>
    </row>
    <row r="19" spans="1:30" s="45" customFormat="1" ht="13.5" hidden="1" customHeight="1">
      <c r="A19" s="598"/>
      <c r="B19" s="1193">
        <f>IF(SwitchRentRollType="Summary",'Rent Roll Summary Input'!C22,'Rent Roll Detail Input'!C20)</f>
        <v>0</v>
      </c>
      <c r="C19" s="1203">
        <f>IF(SwitchRentRollType="Summary",'Rent Roll Summary Input'!D22,COUNTIFS('Rent Roll Detail Input'!$H$12:$H$1011,B19,'Rent Roll Detail Input'!$H$12:$H$1011,"&lt;&gt;0"))</f>
        <v>0</v>
      </c>
      <c r="D19" s="1204" t="str">
        <f>IFERROR(IF(SwitchRentRollType="Summary",'Rent Roll Summary Input'!E22,AVERAGEIFS('Rent Roll Detail Input'!$I$12:$I$1011,'Rent Roll Detail Input'!$H$12:$H$1011,$B19)),"N/A")</f>
        <v>N/A</v>
      </c>
      <c r="E19" s="1196" t="str">
        <f t="shared" si="8"/>
        <v>$0 - $0</v>
      </c>
      <c r="F19" s="1197">
        <f>IFERROR(IF(SwitchRentRollType="Summary",'Rent Roll Summary Input'!$F22,AVERAGEIF('Rent Roll Detail Input'!$H$12:$H$1011,$B19,'Rent Roll Detail Input'!$J$12:$J$1011)),0)*IFERROR(IF($C$4="Monthly",1,IF($C$4="Daily",1/RRS_DayNum,12)),0)</f>
        <v>0</v>
      </c>
      <c r="G19" s="1198" t="str">
        <f t="shared" si="9"/>
        <v>N/A</v>
      </c>
      <c r="H19" s="1197">
        <f t="shared" si="0"/>
        <v>0</v>
      </c>
      <c r="I19" s="1199">
        <f>IFERROR(IF(SwitchRentRollType="Summary",'Rent Roll Summary Input'!$G22,AVERAGEIF('Rent Roll Detail Input'!$H$12:$H$1011,$B19,'Rent Roll Detail Input'!$K$12:$K$1011)),0)*IFERROR(IF($C$4="Monthly",1,IF($C$4="Daily",1/RRS_DayNum,12)),0)</f>
        <v>0</v>
      </c>
      <c r="J19" s="1200" t="str">
        <f t="shared" si="1"/>
        <v>N/A</v>
      </c>
      <c r="K19" s="1199">
        <f t="shared" si="2"/>
        <v>0</v>
      </c>
      <c r="L19" s="1205">
        <f>IFERROR(IF(SwitchRentRollType="Summary",'Rent Roll Summary Input'!H22,AVERAGEIF('Rent Roll Detail Input'!$H$12:$H$1011,$B19,'Rent Roll Detail Input'!$L$12:$L$1011)),0)*IFERROR(IF($C$4="Monthly",1,IF($C$4="Daily",1/RRS_DayNum,12)),0)</f>
        <v>0</v>
      </c>
      <c r="M19" s="1202" t="str">
        <f t="shared" si="3"/>
        <v>N/A</v>
      </c>
      <c r="N19" s="1201">
        <f t="shared" si="4"/>
        <v>0</v>
      </c>
      <c r="O19" s="601">
        <f>IFERROR(IF(SwitchRentRollType="Summary",'Rent Roll Summary Input'!$I22,AVERAGEIF('Rent Roll Detail Input'!$H$12:$H$1011,$B19,'Rent Roll Detail Input'!$M$12:$M$1011)),0)*IFERROR(IF($C$4="Monthly",1,IF($C$4="Daily",1/RRS_DayNum,12)),0)</f>
        <v>0</v>
      </c>
      <c r="P19" s="601">
        <f t="shared" si="5"/>
        <v>0</v>
      </c>
      <c r="Q19" s="590"/>
      <c r="R19" s="606">
        <f t="array" ref="R19">MIN(IF('Rent Roll Detail Input'!$H$12:$H$1011=$B19,IF(RRS_RentRange="Scheduled",'Rent Roll Detail Input'!$K$12:$K$1011,'Rent Roll Detail Input'!$J$12:$J$1011)))</f>
        <v>0</v>
      </c>
      <c r="S19" s="606">
        <f t="array" ref="S19">MAX(IF('Rent Roll Detail Input'!$H$12:$H$1011=$B19,IF(RRS_RentRange="Scheduled",'Rent Roll Detail Input'!$K$12:$K$1011,'Rent Roll Detail Input'!$J$12:$J$1011)))</f>
        <v>0</v>
      </c>
      <c r="T19" s="606" t="str">
        <f t="shared" si="6"/>
        <v>N/A</v>
      </c>
      <c r="U19" s="603">
        <f>IF(SwitchRentRollType="Detail",IFERROR(AVERAGEIFS('Rent Roll Detail Input'!$J$12:$J$1011,'Rent Roll Detail Input'!$H$12:$H$1011,$B19,'Rent Roll Detail Input'!$J$12:$J$1011,"&lt;&gt;0"),0),'Rent Roll Summary Input'!F22)</f>
        <v>0</v>
      </c>
      <c r="V19" s="607" t="str">
        <f t="shared" si="7"/>
        <v/>
      </c>
      <c r="W19" s="605"/>
      <c r="X19" s="605"/>
      <c r="Y19" s="61"/>
      <c r="Z19" s="61"/>
      <c r="AA19" s="61"/>
      <c r="AB19" s="47"/>
    </row>
    <row r="20" spans="1:30" s="45" customFormat="1" ht="13.5" hidden="1" customHeight="1">
      <c r="A20" s="598"/>
      <c r="B20" s="1193">
        <f>IF(SwitchRentRollType="Summary",'Rent Roll Summary Input'!C23,'Rent Roll Detail Input'!C21)</f>
        <v>0</v>
      </c>
      <c r="C20" s="1203">
        <f>IF(SwitchRentRollType="Summary",'Rent Roll Summary Input'!D23,COUNTIFS('Rent Roll Detail Input'!$H$12:$H$1011,B20,'Rent Roll Detail Input'!$H$12:$H$1011,"&lt;&gt;0"))</f>
        <v>0</v>
      </c>
      <c r="D20" s="1204" t="str">
        <f>IFERROR(IF(SwitchRentRollType="Summary",'Rent Roll Summary Input'!E23,AVERAGEIFS('Rent Roll Detail Input'!$I$12:$I$1011,'Rent Roll Detail Input'!$H$12:$H$1011,$B20)),"N/A")</f>
        <v>N/A</v>
      </c>
      <c r="E20" s="1196" t="str">
        <f t="shared" si="8"/>
        <v>$0 - $0</v>
      </c>
      <c r="F20" s="1197">
        <f>IFERROR(IF(SwitchRentRollType="Summary",'Rent Roll Summary Input'!$F23,AVERAGEIF('Rent Roll Detail Input'!$H$12:$H$1011,$B20,'Rent Roll Detail Input'!$J$12:$J$1011)),0)*IFERROR(IF($C$4="Monthly",1,IF($C$4="Daily",1/RRS_DayNum,12)),0)</f>
        <v>0</v>
      </c>
      <c r="G20" s="1198" t="str">
        <f t="shared" si="9"/>
        <v>N/A</v>
      </c>
      <c r="H20" s="1197">
        <f t="shared" si="0"/>
        <v>0</v>
      </c>
      <c r="I20" s="1199">
        <f>IFERROR(IF(SwitchRentRollType="Summary",'Rent Roll Summary Input'!$G23,AVERAGEIF('Rent Roll Detail Input'!$H$12:$H$1011,$B20,'Rent Roll Detail Input'!$K$12:$K$1011)),0)*IFERROR(IF($C$4="Monthly",1,IF($C$4="Daily",1/RRS_DayNum,12)),0)</f>
        <v>0</v>
      </c>
      <c r="J20" s="1200" t="str">
        <f t="shared" si="1"/>
        <v>N/A</v>
      </c>
      <c r="K20" s="1199">
        <f t="shared" si="2"/>
        <v>0</v>
      </c>
      <c r="L20" s="1205">
        <f>IFERROR(IF(SwitchRentRollType="Summary",'Rent Roll Summary Input'!H23,AVERAGEIF('Rent Roll Detail Input'!$H$12:$H$1011,$B20,'Rent Roll Detail Input'!$L$12:$L$1011)),0)*IFERROR(IF($C$4="Monthly",1,IF($C$4="Daily",1/RRS_DayNum,12)),0)</f>
        <v>0</v>
      </c>
      <c r="M20" s="1202" t="str">
        <f t="shared" si="3"/>
        <v>N/A</v>
      </c>
      <c r="N20" s="1201">
        <f t="shared" si="4"/>
        <v>0</v>
      </c>
      <c r="O20" s="601">
        <f>IFERROR(IF(SwitchRentRollType="Summary",'Rent Roll Summary Input'!$I23,AVERAGEIF('Rent Roll Detail Input'!$H$12:$H$1011,$B20,'Rent Roll Detail Input'!$M$12:$M$1011)),0)*IFERROR(IF($C$4="Monthly",1,IF($C$4="Daily",1/RRS_DayNum,12)),0)</f>
        <v>0</v>
      </c>
      <c r="P20" s="601">
        <f t="shared" si="5"/>
        <v>0</v>
      </c>
      <c r="Q20" s="590"/>
      <c r="R20" s="606">
        <f t="array" ref="R20">MIN(IF('Rent Roll Detail Input'!$H$12:$H$1011=$B20,IF(RRS_RentRange="Scheduled",'Rent Roll Detail Input'!$K$12:$K$1011,'Rent Roll Detail Input'!$J$12:$J$1011)))</f>
        <v>0</v>
      </c>
      <c r="S20" s="606">
        <f t="array" ref="S20">MAX(IF('Rent Roll Detail Input'!$H$12:$H$1011=$B20,IF(RRS_RentRange="Scheduled",'Rent Roll Detail Input'!$K$12:$K$1011,'Rent Roll Detail Input'!$J$12:$J$1011)))</f>
        <v>0</v>
      </c>
      <c r="T20" s="606" t="str">
        <f t="shared" si="6"/>
        <v>N/A</v>
      </c>
      <c r="U20" s="603">
        <f>IF(SwitchRentRollType="Detail",IFERROR(AVERAGEIFS('Rent Roll Detail Input'!$J$12:$J$1011,'Rent Roll Detail Input'!$H$12:$H$1011,$B20,'Rent Roll Detail Input'!$J$12:$J$1011,"&lt;&gt;0"),0),'Rent Roll Summary Input'!F23)</f>
        <v>0</v>
      </c>
      <c r="V20" s="607" t="str">
        <f t="shared" si="7"/>
        <v/>
      </c>
      <c r="W20" s="605"/>
      <c r="X20" s="605"/>
      <c r="Y20" s="61"/>
      <c r="Z20" s="61"/>
      <c r="AA20" s="61"/>
      <c r="AB20" s="47"/>
    </row>
    <row r="21" spans="1:30" s="45" customFormat="1" ht="13.5" customHeight="1">
      <c r="A21" s="598"/>
      <c r="B21" s="1193" t="str">
        <f>IF(SwitchRentRollType="Summary",'Rent Roll Summary Input'!C30,'Rent Roll Detail Input'!C22)</f>
        <v>4 Bed / 3 Bath House</v>
      </c>
      <c r="C21" s="1203">
        <f>IF(SwitchRentRollType="Summary",'Rent Roll Summary Input'!D30,COUNTIFS('Rent Roll Detail Input'!$H$12:$H$1011,B21,'Rent Roll Detail Input'!$H$12:$H$1011,"&lt;&gt;0"))</f>
        <v>1</v>
      </c>
      <c r="D21" s="1204">
        <f>IFERROR(IF(SwitchRentRollType="Summary",'Rent Roll Summary Input'!E30,AVERAGEIFS('Rent Roll Detail Input'!$I$12:$I$1011,'Rent Roll Detail Input'!$H$12:$H$1011,$B21)),"N/A")</f>
        <v>2500</v>
      </c>
      <c r="E21" s="1196" t="str">
        <f t="shared" si="8"/>
        <v>$5,000 - $5,000</v>
      </c>
      <c r="F21" s="1197">
        <f>IFERROR(IF(SwitchRentRollType="Summary",'Rent Roll Summary Input'!$F30,AVERAGEIF('Rent Roll Detail Input'!$H$12:$H$1011,$B21,'Rent Roll Detail Input'!$J$12:$J$1011)),0)*IFERROR(IF($C$4="Monthly",1,IF($C$4="Daily",1/RRS_DayNum,12)),0)</f>
        <v>0</v>
      </c>
      <c r="G21" s="1198">
        <f t="shared" si="9"/>
        <v>0</v>
      </c>
      <c r="H21" s="1197">
        <f t="shared" si="0"/>
        <v>0</v>
      </c>
      <c r="I21" s="1199">
        <f>IFERROR(IF(SwitchRentRollType="Summary",'Rent Roll Summary Input'!$G30,AVERAGEIF('Rent Roll Detail Input'!$H$12:$H$1011,$B21,'Rent Roll Detail Input'!$K$12:$K$1011)),0)*IFERROR(IF($C$4="Monthly",1,IF($C$4="Daily",1/RRS_DayNum,12)),0)</f>
        <v>5000</v>
      </c>
      <c r="J21" s="1200">
        <f t="shared" si="1"/>
        <v>2</v>
      </c>
      <c r="K21" s="1199">
        <f t="shared" si="2"/>
        <v>5000</v>
      </c>
      <c r="L21" s="1205">
        <f>IFERROR(IF(SwitchRentRollType="Summary",'Rent Roll Summary Input'!H30,AVERAGEIF('Rent Roll Detail Input'!$H$12:$H$1011,$B21,'Rent Roll Detail Input'!$L$12:$L$1011)),0)*IFERROR(IF($C$4="Monthly",1,IF($C$4="Daily",1/RRS_DayNum,12)),0)</f>
        <v>5000</v>
      </c>
      <c r="M21" s="1202">
        <f t="shared" si="3"/>
        <v>2</v>
      </c>
      <c r="N21" s="1201">
        <f t="shared" si="4"/>
        <v>5000</v>
      </c>
      <c r="O21" s="601">
        <f>IFERROR(IF(SwitchRentRollType="Summary",'Rent Roll Summary Input'!$I30,AVERAGEIF('Rent Roll Detail Input'!$H$12:$H$1011,$B21,'Rent Roll Detail Input'!$M$12:$M$1011)),0)*IFERROR(IF($C$4="Monthly",1,IF($C$4="Daily",1/RRS_DayNum,12)),0)</f>
        <v>0</v>
      </c>
      <c r="P21" s="601">
        <f t="shared" si="5"/>
        <v>0</v>
      </c>
      <c r="Q21" s="590"/>
      <c r="R21" s="606">
        <f t="array" ref="R21">MIN(IF('Rent Roll Detail Input'!$H$12:$H$1011=$B21,IF(RRS_RentRange="Scheduled",'Rent Roll Detail Input'!$K$12:$K$1011,'Rent Roll Detail Input'!$J$12:$J$1011)))</f>
        <v>5000</v>
      </c>
      <c r="S21" s="606">
        <f t="array" ref="S21">MAX(IF('Rent Roll Detail Input'!$H$12:$H$1011=$B21,IF(RRS_RentRange="Scheduled",'Rent Roll Detail Input'!$K$12:$K$1011,'Rent Roll Detail Input'!$J$12:$J$1011)))</f>
        <v>5000</v>
      </c>
      <c r="T21" s="606">
        <f t="shared" si="6"/>
        <v>2500</v>
      </c>
      <c r="U21" s="603">
        <f>IF(SwitchRentRollType="Detail",IFERROR(AVERAGEIFS('Rent Roll Detail Input'!$J$12:$J$1011,'Rent Roll Detail Input'!$H$12:$H$1011,$B21,'Rent Roll Detail Input'!$J$12:$J$1011,"&lt;&gt;0"),0),'Rent Roll Summary Input'!F30)</f>
        <v>0</v>
      </c>
      <c r="V21" s="607">
        <f t="shared" si="7"/>
        <v>0</v>
      </c>
      <c r="W21" s="605"/>
      <c r="X21" s="605"/>
      <c r="Y21" s="61"/>
      <c r="Z21" s="61"/>
      <c r="AA21" s="61"/>
      <c r="AB21" s="47"/>
    </row>
    <row r="22" spans="1:30" s="45" customFormat="1" ht="13.5" hidden="1" customHeight="1">
      <c r="A22" s="598"/>
      <c r="B22" s="1193">
        <f>IF(SwitchRentRollType="Summary",'Rent Roll Summary Input'!C31,'Rent Roll Detail Input'!C23)</f>
        <v>0</v>
      </c>
      <c r="C22" s="1203">
        <f>IF(SwitchRentRollType="Summary",'Rent Roll Summary Input'!D31,COUNTIFS('Rent Roll Detail Input'!$H$12:$H$1011,B22,'Rent Roll Detail Input'!$H$12:$H$1011,"&lt;&gt;0"))</f>
        <v>0</v>
      </c>
      <c r="D22" s="1204" t="str">
        <f>IFERROR(IF(SwitchRentRollType="Summary",'Rent Roll Summary Input'!E31,AVERAGEIFS('Rent Roll Detail Input'!$I$12:$I$1011,'Rent Roll Detail Input'!$H$12:$H$1011,$B22)),"N/A")</f>
        <v>N/A</v>
      </c>
      <c r="E22" s="1196" t="str">
        <f t="shared" ref="E22" si="10">TEXT(R22*IF($C$4="Monthly",1,IF($C$4="Daily",1/30,12)),"$#,##0")&amp;" - "&amp;TEXT(S22*IF($C$4="Monthly",1,IF($C$4="Daily",1/30,12)),"$#,##0")</f>
        <v>$0 - $0</v>
      </c>
      <c r="F22" s="1197">
        <f>IFERROR(IF(SwitchRentRollType="Summary",'Rent Roll Summary Input'!$F31,AVERAGEIF('Rent Roll Detail Input'!$H$12:$H$1011,$B22,'Rent Roll Detail Input'!$J$12:$J$1011)),0)*IFERROR(IF($C$4="Monthly",1,IF($C$4="Daily",1/RRS_DayNum,12)),0)</f>
        <v>0</v>
      </c>
      <c r="G22" s="1198" t="str">
        <f t="shared" si="9"/>
        <v>N/A</v>
      </c>
      <c r="H22" s="1197">
        <f t="shared" si="0"/>
        <v>0</v>
      </c>
      <c r="I22" s="1199">
        <f>IFERROR(IF(SwitchRentRollType="Summary",'Rent Roll Summary Input'!$G31,AVERAGEIF('Rent Roll Detail Input'!$H$12:$H$1011,$B22,'Rent Roll Detail Input'!$K$12:$K$1011)),0)*IFERROR(IF($C$4="Monthly",1,IF($C$4="Daily",1/RRS_DayNum,12)),0)</f>
        <v>0</v>
      </c>
      <c r="J22" s="1200" t="str">
        <f t="shared" si="1"/>
        <v>N/A</v>
      </c>
      <c r="K22" s="1199">
        <f t="shared" si="2"/>
        <v>0</v>
      </c>
      <c r="L22" s="1205">
        <f>IFERROR(IF(SwitchRentRollType="Summary",'Rent Roll Summary Input'!H31,AVERAGEIF('Rent Roll Detail Input'!$H$12:$H$1011,$B22,'Rent Roll Detail Input'!$L$12:$L$1011)),0)*IFERROR(IF($C$4="Monthly",1,IF($C$4="Daily",1/RRS_DayNum,12)),0)</f>
        <v>0</v>
      </c>
      <c r="M22" s="1202" t="str">
        <f t="shared" si="3"/>
        <v>N/A</v>
      </c>
      <c r="N22" s="1201">
        <f t="shared" si="4"/>
        <v>0</v>
      </c>
      <c r="O22" s="601">
        <f>IFERROR(IF(SwitchRentRollType="Summary",'Rent Roll Summary Input'!$I31,AVERAGEIF('Rent Roll Detail Input'!$H$12:$H$1011,$B22,'Rent Roll Detail Input'!$M$12:$M$1011)),0)*IFERROR(IF($C$4="Monthly",1,IF($C$4="Daily",1/RRS_DayNum,12)),0)</f>
        <v>0</v>
      </c>
      <c r="P22" s="601">
        <f t="shared" si="5"/>
        <v>0</v>
      </c>
      <c r="Q22" s="590"/>
      <c r="R22" s="606">
        <f t="array" ref="R22">MIN(IF('Rent Roll Detail Input'!$H$12:$H$1011=$B22,IF(RRS_RentRange="Scheduled",'Rent Roll Detail Input'!$K$12:$K$1011,'Rent Roll Detail Input'!$J$12:$J$1011)))</f>
        <v>0</v>
      </c>
      <c r="S22" s="606">
        <f t="array" ref="S22">MAX(IF('Rent Roll Detail Input'!$H$12:$H$1011=$B22,IF(RRS_RentRange="Scheduled",'Rent Roll Detail Input'!$K$12:$K$1011,'Rent Roll Detail Input'!$J$12:$J$1011)))</f>
        <v>0</v>
      </c>
      <c r="T22" s="606" t="str">
        <f t="shared" si="6"/>
        <v>N/A</v>
      </c>
      <c r="U22" s="603">
        <f>IF(SwitchRentRollType="Detail",IFERROR(AVERAGEIFS('Rent Roll Detail Input'!$J$12:$J$1011,'Rent Roll Detail Input'!$H$12:$H$1011,$B22,'Rent Roll Detail Input'!$J$12:$J$1011,"&lt;&gt;0"),0),'Rent Roll Summary Input'!F31)</f>
        <v>0</v>
      </c>
      <c r="V22" s="607" t="str">
        <f t="shared" si="7"/>
        <v/>
      </c>
      <c r="W22" s="605"/>
      <c r="X22" s="605"/>
      <c r="Y22" s="61"/>
      <c r="Z22" s="61"/>
      <c r="AA22" s="61"/>
      <c r="AB22" s="47"/>
    </row>
    <row r="23" spans="1:30" s="45" customFormat="1" ht="13.5" hidden="1" customHeight="1">
      <c r="A23" s="598"/>
      <c r="B23" s="1193">
        <f>IF(SwitchRentRollType="Summary",'Rent Roll Summary Input'!C32,'Rent Roll Detail Input'!C24)</f>
        <v>0</v>
      </c>
      <c r="C23" s="1203">
        <f>IF(SwitchRentRollType="Summary",'Rent Roll Summary Input'!D32,COUNTIFS('Rent Roll Detail Input'!$H$12:$H$1011,B23,'Rent Roll Detail Input'!$H$12:$H$1011,"&lt;&gt;0"))</f>
        <v>0</v>
      </c>
      <c r="D23" s="1204" t="str">
        <f>IFERROR(IF(SwitchRentRollType="Summary",'Rent Roll Summary Input'!E32,AVERAGEIFS('Rent Roll Detail Input'!$I$12:$I$1011,'Rent Roll Detail Input'!$H$12:$H$1011,$B23)),"N/A")</f>
        <v>N/A</v>
      </c>
      <c r="E23" s="1196" t="str">
        <f t="shared" ref="E23:E35" si="11">TEXT(R23*IF($C$4="Monthly",1,IF($C$4="Daily",1/RRS_DayNum,12)),"$#,##0")&amp;" - "&amp;TEXT(S23*IF($C$4="Monthly",1,IF($C$4="Daily",1/RRS_DayNum,12)),"$#,##0")</f>
        <v>$0 - $0</v>
      </c>
      <c r="F23" s="1197">
        <f>IFERROR(IF(SwitchRentRollType="Summary",'Rent Roll Summary Input'!$F32,AVERAGEIF('Rent Roll Detail Input'!$H$12:$H$1011,$B23,'Rent Roll Detail Input'!$J$12:$J$1011)),0)*IFERROR(IF($C$4="Monthly",1,IF($C$4="Daily",1/RRS_DayNum,12)),0)</f>
        <v>0</v>
      </c>
      <c r="G23" s="1198" t="str">
        <f t="shared" si="9"/>
        <v>N/A</v>
      </c>
      <c r="H23" s="1197">
        <f t="shared" si="0"/>
        <v>0</v>
      </c>
      <c r="I23" s="1199">
        <f>IFERROR(IF(SwitchRentRollType="Summary",'Rent Roll Summary Input'!$G32,AVERAGEIF('Rent Roll Detail Input'!$H$12:$H$1011,$B23,'Rent Roll Detail Input'!$K$12:$K$1011)),0)*IFERROR(IF($C$4="Monthly",1,IF($C$4="Daily",1/RRS_DayNum,12)),0)</f>
        <v>0</v>
      </c>
      <c r="J23" s="1200" t="str">
        <f t="shared" si="1"/>
        <v>N/A</v>
      </c>
      <c r="K23" s="1199">
        <f t="shared" si="2"/>
        <v>0</v>
      </c>
      <c r="L23" s="1205">
        <f>IFERROR(IF(SwitchRentRollType="Summary",'Rent Roll Summary Input'!H32,AVERAGEIF('Rent Roll Detail Input'!$H$12:$H$1011,$B23,'Rent Roll Detail Input'!$L$12:$L$1011)),0)*IFERROR(IF($C$4="Monthly",1,IF($C$4="Daily",1/RRS_DayNum,12)),0)</f>
        <v>0</v>
      </c>
      <c r="M23" s="1202" t="str">
        <f t="shared" si="3"/>
        <v>N/A</v>
      </c>
      <c r="N23" s="1201">
        <f t="shared" si="4"/>
        <v>0</v>
      </c>
      <c r="O23" s="601">
        <f>IFERROR(IF(SwitchRentRollType="Summary",'Rent Roll Summary Input'!$I32,AVERAGEIF('Rent Roll Detail Input'!$H$12:$H$1011,$B23,'Rent Roll Detail Input'!$M$12:$M$1011)),0)*IFERROR(IF($C$4="Monthly",1,IF($C$4="Daily",1/RRS_DayNum,12)),0)</f>
        <v>0</v>
      </c>
      <c r="P23" s="601">
        <f t="shared" si="5"/>
        <v>0</v>
      </c>
      <c r="Q23" s="590"/>
      <c r="R23" s="606">
        <f t="array" ref="R23">MIN(IF('Rent Roll Detail Input'!$H$12:$H$1011=$B23,IF(RRS_RentRange="Scheduled",'Rent Roll Detail Input'!$K$12:$K$1011,'Rent Roll Detail Input'!$J$12:$J$1011)))</f>
        <v>0</v>
      </c>
      <c r="S23" s="606">
        <f t="array" ref="S23">MAX(IF('Rent Roll Detail Input'!$H$12:$H$1011=$B23,IF(RRS_RentRange="Scheduled",'Rent Roll Detail Input'!$K$12:$K$1011,'Rent Roll Detail Input'!$J$12:$J$1011)))</f>
        <v>0</v>
      </c>
      <c r="T23" s="606" t="str">
        <f t="shared" si="6"/>
        <v>N/A</v>
      </c>
      <c r="U23" s="603">
        <f>IF(SwitchRentRollType="Detail",IFERROR(AVERAGEIFS('Rent Roll Detail Input'!$J$12:$J$1011,'Rent Roll Detail Input'!$H$12:$H$1011,$B23,'Rent Roll Detail Input'!$J$12:$J$1011,"&lt;&gt;0"),0),'Rent Roll Summary Input'!F32)</f>
        <v>0</v>
      </c>
      <c r="V23" s="607" t="str">
        <f t="shared" si="7"/>
        <v/>
      </c>
      <c r="W23" s="605"/>
      <c r="X23" s="605"/>
      <c r="Y23" s="61"/>
      <c r="Z23" s="61"/>
      <c r="AA23" s="61"/>
    </row>
    <row r="24" spans="1:30" s="45" customFormat="1" ht="13.5" hidden="1" customHeight="1">
      <c r="A24" s="598"/>
      <c r="B24" s="1193">
        <f>IF(SwitchRentRollType="Summary",'Rent Roll Summary Input'!C33,'Rent Roll Detail Input'!C25)</f>
        <v>0</v>
      </c>
      <c r="C24" s="1203">
        <f>IF(SwitchRentRollType="Summary",'Rent Roll Summary Input'!D33,COUNTIFS('Rent Roll Detail Input'!$H$12:$H$1011,B24,'Rent Roll Detail Input'!$H$12:$H$1011,"&lt;&gt;0"))</f>
        <v>0</v>
      </c>
      <c r="D24" s="1204" t="str">
        <f>IFERROR(IF(SwitchRentRollType="Summary",'Rent Roll Summary Input'!E33,AVERAGEIFS('Rent Roll Detail Input'!$I$12:$I$1011,'Rent Roll Detail Input'!$H$12:$H$1011,$B24)),"N/A")</f>
        <v>N/A</v>
      </c>
      <c r="E24" s="1196" t="str">
        <f t="shared" si="11"/>
        <v>$0 - $0</v>
      </c>
      <c r="F24" s="1197">
        <f>IFERROR(IF(SwitchRentRollType="Summary",'Rent Roll Summary Input'!$F33,AVERAGEIF('Rent Roll Detail Input'!$H$12:$H$1011,$B24,'Rent Roll Detail Input'!$J$12:$J$1011)),0)*IFERROR(IF($C$4="Monthly",1,IF($C$4="Daily",1/RRS_DayNum,12)),0)</f>
        <v>0</v>
      </c>
      <c r="G24" s="1198" t="str">
        <f t="shared" si="9"/>
        <v>N/A</v>
      </c>
      <c r="H24" s="1197">
        <f t="shared" si="0"/>
        <v>0</v>
      </c>
      <c r="I24" s="1199">
        <f>IFERROR(IF(SwitchRentRollType="Summary",'Rent Roll Summary Input'!$G33,AVERAGEIF('Rent Roll Detail Input'!$H$12:$H$1011,$B24,'Rent Roll Detail Input'!$K$12:$K$1011)),0)*IFERROR(IF($C$4="Monthly",1,IF($C$4="Daily",1/RRS_DayNum,12)),0)</f>
        <v>0</v>
      </c>
      <c r="J24" s="1200" t="str">
        <f t="shared" si="1"/>
        <v>N/A</v>
      </c>
      <c r="K24" s="1199">
        <f t="shared" si="2"/>
        <v>0</v>
      </c>
      <c r="L24" s="1205">
        <f>IFERROR(IF(SwitchRentRollType="Summary",'Rent Roll Summary Input'!H33,AVERAGEIF('Rent Roll Detail Input'!$H$12:$H$1011,$B24,'Rent Roll Detail Input'!$L$12:$L$1011)),0)*IFERROR(IF($C$4="Monthly",1,IF($C$4="Daily",1/RRS_DayNum,12)),0)</f>
        <v>0</v>
      </c>
      <c r="M24" s="1202" t="str">
        <f t="shared" si="3"/>
        <v>N/A</v>
      </c>
      <c r="N24" s="1201">
        <f t="shared" si="4"/>
        <v>0</v>
      </c>
      <c r="O24" s="601">
        <f>IFERROR(IF(SwitchRentRollType="Summary",'Rent Roll Summary Input'!$I33,AVERAGEIF('Rent Roll Detail Input'!$H$12:$H$1011,$B24,'Rent Roll Detail Input'!$M$12:$M$1011)),0)*IFERROR(IF($C$4="Monthly",1,IF($C$4="Daily",1/RRS_DayNum,12)),0)</f>
        <v>0</v>
      </c>
      <c r="P24" s="601">
        <f t="shared" si="5"/>
        <v>0</v>
      </c>
      <c r="Q24" s="590"/>
      <c r="R24" s="606">
        <f t="array" ref="R24">MIN(IF('Rent Roll Detail Input'!$H$12:$H$1011=$B24,IF(RRS_RentRange="Scheduled",'Rent Roll Detail Input'!$K$12:$K$1011,'Rent Roll Detail Input'!$J$12:$J$1011)))</f>
        <v>0</v>
      </c>
      <c r="S24" s="606">
        <f t="array" ref="S24">MAX(IF('Rent Roll Detail Input'!$H$12:$H$1011=$B24,IF(RRS_RentRange="Scheduled",'Rent Roll Detail Input'!$K$12:$K$1011,'Rent Roll Detail Input'!$J$12:$J$1011)))</f>
        <v>0</v>
      </c>
      <c r="T24" s="606" t="str">
        <f t="shared" si="6"/>
        <v>N/A</v>
      </c>
      <c r="U24" s="603">
        <f>IF(SwitchRentRollType="Detail",IFERROR(AVERAGEIFS('Rent Roll Detail Input'!$J$12:$J$1011,'Rent Roll Detail Input'!$H$12:$H$1011,$B24,'Rent Roll Detail Input'!$J$12:$J$1011,"&lt;&gt;0"),0),'Rent Roll Summary Input'!F33)</f>
        <v>0</v>
      </c>
      <c r="V24" s="607" t="str">
        <f t="shared" si="7"/>
        <v/>
      </c>
      <c r="W24" s="605"/>
      <c r="X24" s="605"/>
      <c r="Y24" s="61"/>
      <c r="Z24" s="61"/>
      <c r="AA24" s="61"/>
    </row>
    <row r="25" spans="1:30" s="45" customFormat="1" ht="13.5" hidden="1" customHeight="1">
      <c r="A25" s="598"/>
      <c r="B25" s="1193">
        <f>IF(SwitchRentRollType="Summary",'Rent Roll Summary Input'!C34,'Rent Roll Detail Input'!C26)</f>
        <v>0</v>
      </c>
      <c r="C25" s="1203">
        <f>IF(SwitchRentRollType="Summary",'Rent Roll Summary Input'!D34,COUNTIFS('Rent Roll Detail Input'!$H$12:$H$1011,B25,'Rent Roll Detail Input'!$H$12:$H$1011,"&lt;&gt;0"))</f>
        <v>0</v>
      </c>
      <c r="D25" s="1204" t="str">
        <f>IFERROR(IF(SwitchRentRollType="Summary",'Rent Roll Summary Input'!E34,AVERAGEIFS('Rent Roll Detail Input'!$I$12:$I$1011,'Rent Roll Detail Input'!$H$12:$H$1011,$B25)),"N/A")</f>
        <v>N/A</v>
      </c>
      <c r="E25" s="1196" t="str">
        <f t="shared" si="11"/>
        <v>$0 - $0</v>
      </c>
      <c r="F25" s="1197">
        <f>IFERROR(IF(SwitchRentRollType="Summary",'Rent Roll Summary Input'!$F34,AVERAGEIF('Rent Roll Detail Input'!$H$12:$H$1011,$B25,'Rent Roll Detail Input'!$J$12:$J$1011)),0)*IFERROR(IF($C$4="Monthly",1,IF($C$4="Daily",1/RRS_DayNum,12)),0)</f>
        <v>0</v>
      </c>
      <c r="G25" s="1198" t="str">
        <f t="shared" si="9"/>
        <v>N/A</v>
      </c>
      <c r="H25" s="1197">
        <f t="shared" si="0"/>
        <v>0</v>
      </c>
      <c r="I25" s="1199">
        <f>IFERROR(IF(SwitchRentRollType="Summary",'Rent Roll Summary Input'!$G34,AVERAGEIF('Rent Roll Detail Input'!$H$12:$H$1011,$B25,'Rent Roll Detail Input'!$K$12:$K$1011)),0)*IFERROR(IF($C$4="Monthly",1,IF($C$4="Daily",1/RRS_DayNum,12)),0)</f>
        <v>0</v>
      </c>
      <c r="J25" s="1200" t="str">
        <f t="shared" si="1"/>
        <v>N/A</v>
      </c>
      <c r="K25" s="1199">
        <f t="shared" si="2"/>
        <v>0</v>
      </c>
      <c r="L25" s="1205">
        <f>IFERROR(IF(SwitchRentRollType="Summary",'Rent Roll Summary Input'!H34,AVERAGEIF('Rent Roll Detail Input'!$H$12:$H$1011,$B25,'Rent Roll Detail Input'!$L$12:$L$1011)),0)*IFERROR(IF($C$4="Monthly",1,IF($C$4="Daily",1/RRS_DayNum,12)),0)</f>
        <v>0</v>
      </c>
      <c r="M25" s="1202" t="str">
        <f t="shared" si="3"/>
        <v>N/A</v>
      </c>
      <c r="N25" s="1201">
        <f t="shared" si="4"/>
        <v>0</v>
      </c>
      <c r="O25" s="601">
        <f>IFERROR(IF(SwitchRentRollType="Summary",'Rent Roll Summary Input'!$I34,AVERAGEIF('Rent Roll Detail Input'!$H$12:$H$1011,$B25,'Rent Roll Detail Input'!$M$12:$M$1011)),0)*IFERROR(IF($C$4="Monthly",1,IF($C$4="Daily",1/RRS_DayNum,12)),0)</f>
        <v>0</v>
      </c>
      <c r="P25" s="601">
        <f t="shared" si="5"/>
        <v>0</v>
      </c>
      <c r="Q25" s="590"/>
      <c r="R25" s="606">
        <f t="array" ref="R25">MIN(IF('Rent Roll Detail Input'!$H$12:$H$1011=$B25,IF(RRS_RentRange="Scheduled",'Rent Roll Detail Input'!$K$12:$K$1011,'Rent Roll Detail Input'!$J$12:$J$1011)))</f>
        <v>0</v>
      </c>
      <c r="S25" s="606">
        <f t="array" ref="S25">MAX(IF('Rent Roll Detail Input'!$H$12:$H$1011=$B25,IF(RRS_RentRange="Scheduled",'Rent Roll Detail Input'!$K$12:$K$1011,'Rent Roll Detail Input'!$J$12:$J$1011)))</f>
        <v>0</v>
      </c>
      <c r="T25" s="606" t="str">
        <f t="shared" si="6"/>
        <v>N/A</v>
      </c>
      <c r="U25" s="603">
        <f>IF(SwitchRentRollType="Detail",IFERROR(AVERAGEIFS('Rent Roll Detail Input'!$J$12:$J$1011,'Rent Roll Detail Input'!$H$12:$H$1011,$B25,'Rent Roll Detail Input'!$J$12:$J$1011,"&lt;&gt;0"),0),'Rent Roll Summary Input'!F34)</f>
        <v>0</v>
      </c>
      <c r="V25" s="607" t="str">
        <f t="shared" si="7"/>
        <v/>
      </c>
      <c r="W25" s="605"/>
      <c r="X25" s="605"/>
      <c r="Y25" s="61"/>
      <c r="Z25" s="61"/>
      <c r="AA25" s="61"/>
    </row>
    <row r="26" spans="1:30" s="45" customFormat="1" ht="13.5" hidden="1" customHeight="1">
      <c r="A26" s="598"/>
      <c r="B26" s="1193">
        <f>IF(SwitchRentRollType="Summary",'Rent Roll Summary Input'!C41,'Rent Roll Detail Input'!C27)</f>
        <v>0</v>
      </c>
      <c r="C26" s="1203">
        <f>IF(SwitchRentRollType="Summary",'Rent Roll Summary Input'!D41,COUNTIFS('Rent Roll Detail Input'!$H$12:$H$1011,B26,'Rent Roll Detail Input'!$H$12:$H$1011,"&lt;&gt;0"))</f>
        <v>0</v>
      </c>
      <c r="D26" s="1204" t="str">
        <f>IFERROR(IF(SwitchRentRollType="Summary",'Rent Roll Summary Input'!E41,AVERAGEIFS('Rent Roll Detail Input'!$I$12:$I$1011,'Rent Roll Detail Input'!$H$12:$H$1011,$B26)),"N/A")</f>
        <v>N/A</v>
      </c>
      <c r="E26" s="1196" t="str">
        <f t="shared" si="11"/>
        <v>$0 - $0</v>
      </c>
      <c r="F26" s="1197">
        <f>IFERROR(IF(SwitchRentRollType="Summary",'Rent Roll Summary Input'!$F41,AVERAGEIF('Rent Roll Detail Input'!$H$12:$H$1011,$B26,'Rent Roll Detail Input'!$J$12:$J$1011)),0)*IFERROR(IF($C$4="Monthly",1,IF($C$4="Daily",1/RRS_DayNum,12)),0)</f>
        <v>0</v>
      </c>
      <c r="G26" s="1198" t="str">
        <f t="shared" si="9"/>
        <v>N/A</v>
      </c>
      <c r="H26" s="1197">
        <f t="shared" si="0"/>
        <v>0</v>
      </c>
      <c r="I26" s="1199">
        <f>IFERROR(IF(SwitchRentRollType="Summary",'Rent Roll Summary Input'!$G41,AVERAGEIF('Rent Roll Detail Input'!$H$12:$H$1011,$B26,'Rent Roll Detail Input'!$K$12:$K$1011)),0)*IFERROR(IF($C$4="Monthly",1,IF($C$4="Daily",1/RRS_DayNum,12)),0)</f>
        <v>0</v>
      </c>
      <c r="J26" s="1200" t="str">
        <f t="shared" si="1"/>
        <v>N/A</v>
      </c>
      <c r="K26" s="1199">
        <f t="shared" si="2"/>
        <v>0</v>
      </c>
      <c r="L26" s="1205">
        <f>IFERROR(IF(SwitchRentRollType="Summary",'Rent Roll Summary Input'!H41,AVERAGEIF('Rent Roll Detail Input'!$H$12:$H$1011,$B26,'Rent Roll Detail Input'!$L$12:$L$1011)),0)*IFERROR(IF($C$4="Monthly",1,IF($C$4="Daily",1/RRS_DayNum,12)),0)</f>
        <v>0</v>
      </c>
      <c r="M26" s="1202" t="str">
        <f t="shared" si="3"/>
        <v>N/A</v>
      </c>
      <c r="N26" s="1201">
        <f t="shared" si="4"/>
        <v>0</v>
      </c>
      <c r="O26" s="601">
        <f>IFERROR(IF(SwitchRentRollType="Summary",'Rent Roll Summary Input'!$I41,AVERAGEIF('Rent Roll Detail Input'!$H$12:$H$1011,$B26,'Rent Roll Detail Input'!$M$12:$M$1011)),0)*IFERROR(IF($C$4="Monthly",1,IF($C$4="Daily",1/RRS_DayNum,12)),0)</f>
        <v>0</v>
      </c>
      <c r="P26" s="601">
        <f t="shared" si="5"/>
        <v>0</v>
      </c>
      <c r="Q26" s="590"/>
      <c r="R26" s="606">
        <f t="array" ref="R26">MIN(IF('Rent Roll Detail Input'!$H$12:$H$1011=$B26,IF(RRS_RentRange="Scheduled",'Rent Roll Detail Input'!$K$12:$K$1011,'Rent Roll Detail Input'!$J$12:$J$1011)))</f>
        <v>0</v>
      </c>
      <c r="S26" s="606">
        <f t="array" ref="S26">MAX(IF('Rent Roll Detail Input'!$H$12:$H$1011=$B26,IF(RRS_RentRange="Scheduled",'Rent Roll Detail Input'!$K$12:$K$1011,'Rent Roll Detail Input'!$J$12:$J$1011)))</f>
        <v>0</v>
      </c>
      <c r="T26" s="606" t="str">
        <f t="shared" si="6"/>
        <v>N/A</v>
      </c>
      <c r="U26" s="603">
        <f>IF(SwitchRentRollType="Detail",IFERROR(AVERAGEIFS('Rent Roll Detail Input'!$J$12:$J$1011,'Rent Roll Detail Input'!$H$12:$H$1011,$B26,'Rent Roll Detail Input'!$J$12:$J$1011,"&lt;&gt;0"),0),'Rent Roll Summary Input'!F41)</f>
        <v>0</v>
      </c>
      <c r="V26" s="607" t="str">
        <f t="shared" si="7"/>
        <v/>
      </c>
      <c r="W26" s="605"/>
      <c r="X26" s="605"/>
      <c r="Y26" s="61"/>
      <c r="Z26" s="61"/>
      <c r="AA26" s="61"/>
    </row>
    <row r="27" spans="1:30" s="45" customFormat="1" ht="13.5" hidden="1" customHeight="1">
      <c r="A27" s="598"/>
      <c r="B27" s="1193">
        <f>IF(SwitchRentRollType="Summary",'Rent Roll Summary Input'!C42,'Rent Roll Detail Input'!C28)</f>
        <v>0</v>
      </c>
      <c r="C27" s="1203">
        <f>IF(SwitchRentRollType="Summary",'Rent Roll Summary Input'!D42,COUNTIFS('Rent Roll Detail Input'!$H$12:$H$1011,B27,'Rent Roll Detail Input'!$H$12:$H$1011,"&lt;&gt;0"))</f>
        <v>0</v>
      </c>
      <c r="D27" s="1204" t="str">
        <f>IFERROR(IF(SwitchRentRollType="Summary",'Rent Roll Summary Input'!E42,AVERAGEIFS('Rent Roll Detail Input'!$I$12:$I$1011,'Rent Roll Detail Input'!$H$12:$H$1011,$B27)),"N/A")</f>
        <v>N/A</v>
      </c>
      <c r="E27" s="1196" t="str">
        <f t="shared" si="11"/>
        <v>$0 - $0</v>
      </c>
      <c r="F27" s="1197">
        <f>IFERROR(IF(SwitchRentRollType="Summary",'Rent Roll Summary Input'!$F42,AVERAGEIF('Rent Roll Detail Input'!$H$12:$H$1011,$B27,'Rent Roll Detail Input'!$J$12:$J$1011)),0)*IFERROR(IF($C$4="Monthly",1,IF($C$4="Daily",1/RRS_DayNum,12)),0)</f>
        <v>0</v>
      </c>
      <c r="G27" s="1198" t="str">
        <f t="shared" si="9"/>
        <v>N/A</v>
      </c>
      <c r="H27" s="1197">
        <f t="shared" si="0"/>
        <v>0</v>
      </c>
      <c r="I27" s="1199">
        <f>IFERROR(IF(SwitchRentRollType="Summary",'Rent Roll Summary Input'!$G42,AVERAGEIF('Rent Roll Detail Input'!$H$12:$H$1011,$B27,'Rent Roll Detail Input'!$K$12:$K$1011)),0)*IFERROR(IF($C$4="Monthly",1,IF($C$4="Daily",1/RRS_DayNum,12)),0)</f>
        <v>0</v>
      </c>
      <c r="J27" s="1200" t="str">
        <f t="shared" si="1"/>
        <v>N/A</v>
      </c>
      <c r="K27" s="1199">
        <f t="shared" si="2"/>
        <v>0</v>
      </c>
      <c r="L27" s="1205">
        <f>IFERROR(IF(SwitchRentRollType="Summary",'Rent Roll Summary Input'!H42,AVERAGEIF('Rent Roll Detail Input'!$H$12:$H$1011,$B27,'Rent Roll Detail Input'!$L$12:$L$1011)),0)*IFERROR(IF($C$4="Monthly",1,IF($C$4="Daily",1/RRS_DayNum,12)),0)</f>
        <v>0</v>
      </c>
      <c r="M27" s="1202" t="str">
        <f t="shared" si="3"/>
        <v>N/A</v>
      </c>
      <c r="N27" s="1201">
        <f t="shared" si="4"/>
        <v>0</v>
      </c>
      <c r="O27" s="601">
        <f>IFERROR(IF(SwitchRentRollType="Summary",'Rent Roll Summary Input'!$I42,AVERAGEIF('Rent Roll Detail Input'!$H$12:$H$1011,$B27,'Rent Roll Detail Input'!$M$12:$M$1011)),0)*IFERROR(IF($C$4="Monthly",1,IF($C$4="Daily",1/RRS_DayNum,12)),0)</f>
        <v>0</v>
      </c>
      <c r="P27" s="601">
        <f t="shared" si="5"/>
        <v>0</v>
      </c>
      <c r="Q27" s="590"/>
      <c r="R27" s="606">
        <f t="array" ref="R27">MIN(IF('Rent Roll Detail Input'!$H$12:$H$1011=$B27,IF(RRS_RentRange="Scheduled",'Rent Roll Detail Input'!$K$12:$K$1011,'Rent Roll Detail Input'!$J$12:$J$1011)))</f>
        <v>0</v>
      </c>
      <c r="S27" s="606">
        <f t="array" ref="S27">MAX(IF('Rent Roll Detail Input'!$H$12:$H$1011=$B27,IF(RRS_RentRange="Scheduled",'Rent Roll Detail Input'!$K$12:$K$1011,'Rent Roll Detail Input'!$J$12:$J$1011)))</f>
        <v>0</v>
      </c>
      <c r="T27" s="606" t="str">
        <f t="shared" si="6"/>
        <v>N/A</v>
      </c>
      <c r="U27" s="603">
        <f>IF(SwitchRentRollType="Detail",IFERROR(AVERAGEIFS('Rent Roll Detail Input'!$J$12:$J$1011,'Rent Roll Detail Input'!$H$12:$H$1011,$B27,'Rent Roll Detail Input'!$J$12:$J$1011,"&lt;&gt;0"),0),'Rent Roll Summary Input'!F42)</f>
        <v>0</v>
      </c>
      <c r="V27" s="607" t="str">
        <f t="shared" si="7"/>
        <v/>
      </c>
      <c r="W27" s="605"/>
      <c r="X27" s="605"/>
      <c r="Y27" s="61"/>
      <c r="Z27" s="61"/>
      <c r="AA27" s="61"/>
      <c r="AB27" s="61"/>
      <c r="AC27" s="61"/>
      <c r="AD27" s="61"/>
    </row>
    <row r="28" spans="1:30" s="45" customFormat="1" ht="13.5" hidden="1" customHeight="1">
      <c r="A28" s="598"/>
      <c r="B28" s="1193">
        <f>IF(SwitchRentRollType="Summary",'Rent Roll Summary Input'!C43,'Rent Roll Detail Input'!C29)</f>
        <v>0</v>
      </c>
      <c r="C28" s="1203">
        <f>IF(SwitchRentRollType="Summary",'Rent Roll Summary Input'!D43,COUNTIFS('Rent Roll Detail Input'!$H$12:$H$1011,B28,'Rent Roll Detail Input'!$H$12:$H$1011,"&lt;&gt;0"))</f>
        <v>0</v>
      </c>
      <c r="D28" s="1204" t="str">
        <f>IFERROR(IF(SwitchRentRollType="Summary",'Rent Roll Summary Input'!E43,AVERAGEIFS('Rent Roll Detail Input'!$I$12:$I$1011,'Rent Roll Detail Input'!$H$12:$H$1011,$B28)),"N/A")</f>
        <v>N/A</v>
      </c>
      <c r="E28" s="1196" t="str">
        <f t="shared" si="11"/>
        <v>$0 - $0</v>
      </c>
      <c r="F28" s="1197">
        <f>IFERROR(IF(SwitchRentRollType="Summary",'Rent Roll Summary Input'!$F43,AVERAGEIF('Rent Roll Detail Input'!$H$12:$H$1011,$B28,'Rent Roll Detail Input'!$J$12:$J$1011)),0)*IFERROR(IF($C$4="Monthly",1,IF($C$4="Daily",1/RRS_DayNum,12)),0)</f>
        <v>0</v>
      </c>
      <c r="G28" s="1198" t="str">
        <f t="shared" si="9"/>
        <v>N/A</v>
      </c>
      <c r="H28" s="1197">
        <f t="shared" si="0"/>
        <v>0</v>
      </c>
      <c r="I28" s="1199">
        <f>IFERROR(IF(SwitchRentRollType="Summary",'Rent Roll Summary Input'!$G43,AVERAGEIF('Rent Roll Detail Input'!$H$12:$H$1011,$B28,'Rent Roll Detail Input'!$K$12:$K$1011)),0)*IFERROR(IF($C$4="Monthly",1,IF($C$4="Daily",1/RRS_DayNum,12)),0)</f>
        <v>0</v>
      </c>
      <c r="J28" s="1200" t="str">
        <f t="shared" si="1"/>
        <v>N/A</v>
      </c>
      <c r="K28" s="1199">
        <f t="shared" si="2"/>
        <v>0</v>
      </c>
      <c r="L28" s="1205">
        <f>IFERROR(IF(SwitchRentRollType="Summary",'Rent Roll Summary Input'!H43,AVERAGEIF('Rent Roll Detail Input'!$H$12:$H$1011,$B28,'Rent Roll Detail Input'!$L$12:$L$1011)),0)*IFERROR(IF($C$4="Monthly",1,IF($C$4="Daily",1/RRS_DayNum,12)),0)</f>
        <v>0</v>
      </c>
      <c r="M28" s="1202" t="str">
        <f t="shared" si="3"/>
        <v>N/A</v>
      </c>
      <c r="N28" s="1201">
        <f t="shared" si="4"/>
        <v>0</v>
      </c>
      <c r="O28" s="601">
        <f>IFERROR(IF(SwitchRentRollType="Summary",'Rent Roll Summary Input'!$I43,AVERAGEIF('Rent Roll Detail Input'!$H$12:$H$1011,$B28,'Rent Roll Detail Input'!$M$12:$M$1011)),0)*IFERROR(IF($C$4="Monthly",1,IF($C$4="Daily",1/RRS_DayNum,12)),0)</f>
        <v>0</v>
      </c>
      <c r="P28" s="601">
        <f t="shared" si="5"/>
        <v>0</v>
      </c>
      <c r="Q28" s="590"/>
      <c r="R28" s="606">
        <f t="array" ref="R28">MIN(IF('Rent Roll Detail Input'!$H$12:$H$1011=$B28,IF(RRS_RentRange="Scheduled",'Rent Roll Detail Input'!$K$12:$K$1011,'Rent Roll Detail Input'!$J$12:$J$1011)))</f>
        <v>0</v>
      </c>
      <c r="S28" s="606">
        <f t="array" ref="S28">MAX(IF('Rent Roll Detail Input'!$H$12:$H$1011=$B28,IF(RRS_RentRange="Scheduled",'Rent Roll Detail Input'!$K$12:$K$1011,'Rent Roll Detail Input'!$J$12:$J$1011)))</f>
        <v>0</v>
      </c>
      <c r="T28" s="606" t="str">
        <f t="shared" si="6"/>
        <v>N/A</v>
      </c>
      <c r="U28" s="603">
        <f>IF(SwitchRentRollType="Detail",IFERROR(AVERAGEIFS('Rent Roll Detail Input'!$J$12:$J$1011,'Rent Roll Detail Input'!$H$12:$H$1011,$B28,'Rent Roll Detail Input'!$J$12:$J$1011,"&lt;&gt;0"),0),'Rent Roll Summary Input'!F43)</f>
        <v>0</v>
      </c>
      <c r="V28" s="607" t="str">
        <f t="shared" si="7"/>
        <v/>
      </c>
      <c r="W28" s="605"/>
      <c r="X28" s="605"/>
      <c r="Y28" s="61"/>
      <c r="Z28" s="61"/>
      <c r="AA28" s="61"/>
      <c r="AB28" s="61"/>
      <c r="AC28" s="61"/>
      <c r="AD28" s="61"/>
    </row>
    <row r="29" spans="1:30" s="45" customFormat="1" ht="13.5" hidden="1" customHeight="1">
      <c r="A29" s="598"/>
      <c r="B29" s="1193">
        <f>IF(SwitchRentRollType="Summary",'Rent Roll Summary Input'!C44,'Rent Roll Detail Input'!C30)</f>
        <v>0</v>
      </c>
      <c r="C29" s="1203">
        <f>IF(SwitchRentRollType="Summary",'Rent Roll Summary Input'!D44,COUNTIFS('Rent Roll Detail Input'!$H$12:$H$1011,B29,'Rent Roll Detail Input'!$H$12:$H$1011,"&lt;&gt;0"))</f>
        <v>0</v>
      </c>
      <c r="D29" s="1204" t="str">
        <f>IFERROR(IF(SwitchRentRollType="Summary",'Rent Roll Summary Input'!E44,AVERAGEIFS('Rent Roll Detail Input'!$I$12:$I$1011,'Rent Roll Detail Input'!$H$12:$H$1011,$B29)),"N/A")</f>
        <v>N/A</v>
      </c>
      <c r="E29" s="1196" t="str">
        <f t="shared" si="11"/>
        <v>$0 - $0</v>
      </c>
      <c r="F29" s="1197">
        <f>IFERROR(IF(SwitchRentRollType="Summary",'Rent Roll Summary Input'!$F44,AVERAGEIF('Rent Roll Detail Input'!$H$12:$H$1011,$B29,'Rent Roll Detail Input'!$J$12:$J$1011)),0)*IFERROR(IF($C$4="Monthly",1,IF($C$4="Daily",1/RRS_DayNum,12)),0)</f>
        <v>0</v>
      </c>
      <c r="G29" s="1198" t="str">
        <f t="shared" si="9"/>
        <v>N/A</v>
      </c>
      <c r="H29" s="1197">
        <f t="shared" si="0"/>
        <v>0</v>
      </c>
      <c r="I29" s="1199">
        <f>IFERROR(IF(SwitchRentRollType="Summary",'Rent Roll Summary Input'!$G44,AVERAGEIF('Rent Roll Detail Input'!$H$12:$H$1011,$B29,'Rent Roll Detail Input'!$K$12:$K$1011)),0)*IFERROR(IF($C$4="Monthly",1,IF($C$4="Daily",1/RRS_DayNum,12)),0)</f>
        <v>0</v>
      </c>
      <c r="J29" s="1200" t="str">
        <f t="shared" si="1"/>
        <v>N/A</v>
      </c>
      <c r="K29" s="1199">
        <f t="shared" si="2"/>
        <v>0</v>
      </c>
      <c r="L29" s="1205">
        <f>IFERROR(IF(SwitchRentRollType="Summary",'Rent Roll Summary Input'!H44,AVERAGEIF('Rent Roll Detail Input'!$H$12:$H$1011,$B29,'Rent Roll Detail Input'!$L$12:$L$1011)),0)*IFERROR(IF($C$4="Monthly",1,IF($C$4="Daily",1/RRS_DayNum,12)),0)</f>
        <v>0</v>
      </c>
      <c r="M29" s="1202" t="str">
        <f t="shared" si="3"/>
        <v>N/A</v>
      </c>
      <c r="N29" s="1201">
        <f t="shared" si="4"/>
        <v>0</v>
      </c>
      <c r="O29" s="601">
        <f>IFERROR(IF(SwitchRentRollType="Summary",'Rent Roll Summary Input'!$I44,AVERAGEIF('Rent Roll Detail Input'!$H$12:$H$1011,$B29,'Rent Roll Detail Input'!$M$12:$M$1011)),0)*IFERROR(IF($C$4="Monthly",1,IF($C$4="Daily",1/RRS_DayNum,12)),0)</f>
        <v>0</v>
      </c>
      <c r="P29" s="601">
        <f t="shared" si="5"/>
        <v>0</v>
      </c>
      <c r="Q29" s="590"/>
      <c r="R29" s="606">
        <f t="array" ref="R29">MIN(IF('Rent Roll Detail Input'!$H$12:$H$1011=$B29,IF(RRS_RentRange="Scheduled",'Rent Roll Detail Input'!$K$12:$K$1011,'Rent Roll Detail Input'!$J$12:$J$1011)))</f>
        <v>0</v>
      </c>
      <c r="S29" s="606">
        <f t="array" ref="S29">MAX(IF('Rent Roll Detail Input'!$H$12:$H$1011=$B29,IF(RRS_RentRange="Scheduled",'Rent Roll Detail Input'!$K$12:$K$1011,'Rent Roll Detail Input'!$J$12:$J$1011)))</f>
        <v>0</v>
      </c>
      <c r="T29" s="606" t="str">
        <f t="shared" si="6"/>
        <v>N/A</v>
      </c>
      <c r="U29" s="603">
        <f>IF(SwitchRentRollType="Detail",IFERROR(AVERAGEIFS('Rent Roll Detail Input'!$J$12:$J$1011,'Rent Roll Detail Input'!$H$12:$H$1011,$B29,'Rent Roll Detail Input'!$J$12:$J$1011,"&lt;&gt;0"),0),'Rent Roll Summary Input'!F44)</f>
        <v>0</v>
      </c>
      <c r="V29" s="607" t="str">
        <f t="shared" si="7"/>
        <v/>
      </c>
      <c r="W29" s="605"/>
      <c r="X29" s="605"/>
      <c r="Y29" s="61"/>
      <c r="Z29" s="61"/>
      <c r="AA29" s="61"/>
      <c r="AB29" s="61"/>
      <c r="AC29" s="61"/>
      <c r="AD29" s="61"/>
    </row>
    <row r="30" spans="1:30" s="45" customFormat="1" ht="13.5" hidden="1" customHeight="1">
      <c r="A30" s="598"/>
      <c r="B30" s="1193">
        <f>IF(SwitchRentRollType="Summary",'Rent Roll Summary Input'!C45,'Rent Roll Detail Input'!C31)</f>
        <v>0</v>
      </c>
      <c r="C30" s="1203">
        <f>IF(SwitchRentRollType="Summary",'Rent Roll Summary Input'!D45,COUNTIFS('Rent Roll Detail Input'!$H$12:$H$1011,B30,'Rent Roll Detail Input'!$H$12:$H$1011,"&lt;&gt;0"))</f>
        <v>0</v>
      </c>
      <c r="D30" s="1204" t="str">
        <f>IFERROR(IF(SwitchRentRollType="Summary",'Rent Roll Summary Input'!E45,AVERAGEIFS('Rent Roll Detail Input'!$I$12:$I$1011,'Rent Roll Detail Input'!$H$12:$H$1011,$B30)),"N/A")</f>
        <v>N/A</v>
      </c>
      <c r="E30" s="1196" t="str">
        <f t="shared" si="11"/>
        <v>$0 - $0</v>
      </c>
      <c r="F30" s="1197">
        <f>IFERROR(IF(SwitchRentRollType="Summary",'Rent Roll Summary Input'!$F45,AVERAGEIF('Rent Roll Detail Input'!$H$12:$H$1011,$B30,'Rent Roll Detail Input'!$J$12:$J$1011)),0)*IFERROR(IF($C$4="Monthly",1,IF($C$4="Daily",1/RRS_DayNum,12)),0)</f>
        <v>0</v>
      </c>
      <c r="G30" s="1198" t="str">
        <f t="shared" si="9"/>
        <v>N/A</v>
      </c>
      <c r="H30" s="1197">
        <f t="shared" si="0"/>
        <v>0</v>
      </c>
      <c r="I30" s="1199">
        <f>IFERROR(IF(SwitchRentRollType="Summary",'Rent Roll Summary Input'!$G45,AVERAGEIF('Rent Roll Detail Input'!$H$12:$H$1011,$B30,'Rent Roll Detail Input'!$K$12:$K$1011)),0)*IFERROR(IF($C$4="Monthly",1,IF($C$4="Daily",1/RRS_DayNum,12)),0)</f>
        <v>0</v>
      </c>
      <c r="J30" s="1200" t="str">
        <f t="shared" si="1"/>
        <v>N/A</v>
      </c>
      <c r="K30" s="1199">
        <f t="shared" si="2"/>
        <v>0</v>
      </c>
      <c r="L30" s="1205">
        <f>IFERROR(IF(SwitchRentRollType="Summary",'Rent Roll Summary Input'!H45,AVERAGEIF('Rent Roll Detail Input'!$H$12:$H$1011,$B30,'Rent Roll Detail Input'!$L$12:$L$1011)),0)*IFERROR(IF($C$4="Monthly",1,IF($C$4="Daily",1/RRS_DayNum,12)),0)</f>
        <v>0</v>
      </c>
      <c r="M30" s="1202" t="str">
        <f t="shared" ref="M30:M35" si="12">IF(D30="N/A","N/A",IFERROR(L30/D30,0))</f>
        <v>N/A</v>
      </c>
      <c r="N30" s="1201">
        <f t="shared" si="4"/>
        <v>0</v>
      </c>
      <c r="O30" s="601">
        <f>IFERROR(IF(SwitchRentRollType="Summary",'Rent Roll Summary Input'!$I45,AVERAGEIF('Rent Roll Detail Input'!$H$12:$H$1011,$B30,'Rent Roll Detail Input'!$M$12:$M$1011)),0)*IFERROR(IF($C$4="Monthly",1,IF($C$4="Daily",1/RRS_DayNum,12)),0)</f>
        <v>0</v>
      </c>
      <c r="P30" s="601">
        <f t="shared" si="5"/>
        <v>0</v>
      </c>
      <c r="Q30" s="590"/>
      <c r="R30" s="606">
        <f t="array" ref="R30">MIN(IF('Rent Roll Detail Input'!$H$12:$H$1011=$B30,IF(RRS_RentRange="Scheduled",'Rent Roll Detail Input'!$K$12:$K$1011,'Rent Roll Detail Input'!$J$12:$J$1011)))</f>
        <v>0</v>
      </c>
      <c r="S30" s="606">
        <f t="array" ref="S30">MAX(IF('Rent Roll Detail Input'!$H$12:$H$1011=$B30,IF(RRS_RentRange="Scheduled",'Rent Roll Detail Input'!$K$12:$K$1011,'Rent Roll Detail Input'!$J$12:$J$1011)))</f>
        <v>0</v>
      </c>
      <c r="T30" s="606" t="str">
        <f t="shared" ref="T30:T35" si="13">IF(D30="N/A","N/A",ROUND(D30*C30,0))</f>
        <v>N/A</v>
      </c>
      <c r="U30" s="603">
        <f>IF(SwitchRentRollType="Detail",IFERROR(AVERAGEIFS('Rent Roll Detail Input'!$J$12:$J$1011,'Rent Roll Detail Input'!$H$12:$H$1011,$B30,'Rent Roll Detail Input'!$J$12:$J$1011,"&lt;&gt;0"),0),'Rent Roll Summary Input'!F45)</f>
        <v>0</v>
      </c>
      <c r="V30" s="607" t="str">
        <f t="shared" ref="V30:V35" si="14">IFERROR(U30/D30,"")</f>
        <v/>
      </c>
      <c r="W30" s="605"/>
      <c r="X30" s="605"/>
      <c r="Y30" s="61"/>
      <c r="Z30" s="61"/>
      <c r="AA30" s="61"/>
      <c r="AB30" s="61"/>
      <c r="AC30" s="61"/>
      <c r="AD30" s="61"/>
    </row>
    <row r="31" spans="1:30" s="45" customFormat="1" ht="13.5" hidden="1" customHeight="1">
      <c r="A31" s="598"/>
      <c r="B31" s="1193">
        <f>IF(SwitchRentRollType="Summary",'Rent Roll Summary Input'!C52,'Rent Roll Detail Input'!C32)</f>
        <v>0</v>
      </c>
      <c r="C31" s="1203">
        <f>IF(SwitchRentRollType="Summary",'Rent Roll Summary Input'!D52,COUNTIFS('Rent Roll Detail Input'!$H$12:$H$1011,B31,'Rent Roll Detail Input'!$H$12:$H$1011,"&lt;&gt;0"))</f>
        <v>0</v>
      </c>
      <c r="D31" s="1204" t="str">
        <f>IFERROR(IF(SwitchRentRollType="Summary",'Rent Roll Summary Input'!E52,AVERAGEIFS('Rent Roll Detail Input'!$I$12:$I$1011,'Rent Roll Detail Input'!$H$12:$H$1011,$B31)),"N/A")</f>
        <v>N/A</v>
      </c>
      <c r="E31" s="1196" t="str">
        <f t="shared" si="11"/>
        <v>$0 - $0</v>
      </c>
      <c r="F31" s="1197">
        <f>IFERROR(IF(SwitchRentRollType="Summary",'Rent Roll Summary Input'!$F52,AVERAGEIF('Rent Roll Detail Input'!$H$12:$H$1011,$B31,'Rent Roll Detail Input'!$J$12:$J$1011)),0)*IFERROR(IF($C$4="Monthly",1,IF($C$4="Daily",1/RRS_DayNum,12)),0)</f>
        <v>0</v>
      </c>
      <c r="G31" s="1198" t="str">
        <f t="shared" si="9"/>
        <v>N/A</v>
      </c>
      <c r="H31" s="1197">
        <f t="shared" si="0"/>
        <v>0</v>
      </c>
      <c r="I31" s="1199">
        <f>IFERROR(IF(SwitchRentRollType="Summary",'Rent Roll Summary Input'!$G52,AVERAGEIF('Rent Roll Detail Input'!$H$12:$H$1011,$B31,'Rent Roll Detail Input'!$K$12:$K$1011)),0)*IFERROR(IF($C$4="Monthly",1,IF($C$4="Daily",1/RRS_DayNum,12)),0)</f>
        <v>0</v>
      </c>
      <c r="J31" s="1200" t="str">
        <f t="shared" si="1"/>
        <v>N/A</v>
      </c>
      <c r="K31" s="1199">
        <f t="shared" si="2"/>
        <v>0</v>
      </c>
      <c r="L31" s="1205">
        <f>IFERROR(IF(SwitchRentRollType="Summary",'Rent Roll Summary Input'!H52,AVERAGEIF('Rent Roll Detail Input'!$H$12:$H$1011,$B31,'Rent Roll Detail Input'!$L$12:$L$1011)),0)*IFERROR(IF($C$4="Monthly",1,IF($C$4="Daily",1/RRS_DayNum,12)),0)</f>
        <v>0</v>
      </c>
      <c r="M31" s="1202" t="str">
        <f t="shared" si="12"/>
        <v>N/A</v>
      </c>
      <c r="N31" s="1201">
        <f t="shared" si="4"/>
        <v>0</v>
      </c>
      <c r="O31" s="601">
        <f>IFERROR(IF(SwitchRentRollType="Summary",'Rent Roll Summary Input'!$I52,AVERAGEIF('Rent Roll Detail Input'!$H$12:$H$1011,$B31,'Rent Roll Detail Input'!$M$12:$M$1011)),0)*IFERROR(IF($C$4="Monthly",1,IF($C$4="Daily",1/RRS_DayNum,12)),0)</f>
        <v>0</v>
      </c>
      <c r="P31" s="601">
        <f t="shared" si="5"/>
        <v>0</v>
      </c>
      <c r="Q31" s="590"/>
      <c r="R31" s="606">
        <f t="array" ref="R31">MIN(IF('Rent Roll Detail Input'!$H$12:$H$1011=$B31,IF(RRS_RentRange="Scheduled",'Rent Roll Detail Input'!$K$12:$K$1011,'Rent Roll Detail Input'!$J$12:$J$1011)))</f>
        <v>0</v>
      </c>
      <c r="S31" s="606">
        <f t="array" ref="S31">MAX(IF('Rent Roll Detail Input'!$H$12:$H$1011=$B31,IF(RRS_RentRange="Scheduled",'Rent Roll Detail Input'!$K$12:$K$1011,'Rent Roll Detail Input'!$J$12:$J$1011)))</f>
        <v>0</v>
      </c>
      <c r="T31" s="606" t="str">
        <f t="shared" si="13"/>
        <v>N/A</v>
      </c>
      <c r="U31" s="603">
        <f>IF(SwitchRentRollType="Detail",IFERROR(AVERAGEIFS('Rent Roll Detail Input'!$J$12:$J$1011,'Rent Roll Detail Input'!$H$12:$H$1011,$B31,'Rent Roll Detail Input'!$J$12:$J$1011,"&lt;&gt;0"),0),'Rent Roll Summary Input'!F52)</f>
        <v>0</v>
      </c>
      <c r="V31" s="607" t="str">
        <f t="shared" si="14"/>
        <v/>
      </c>
      <c r="W31" s="605"/>
      <c r="X31" s="605"/>
      <c r="Y31" s="61"/>
      <c r="Z31" s="61"/>
      <c r="AA31" s="61"/>
      <c r="AB31" s="61"/>
      <c r="AC31" s="61"/>
      <c r="AD31" s="61"/>
    </row>
    <row r="32" spans="1:30" s="45" customFormat="1" ht="13.5" hidden="1" customHeight="1">
      <c r="A32" s="598"/>
      <c r="B32" s="1193">
        <f>IF(SwitchRentRollType="Summary",'Rent Roll Summary Input'!C53,'Rent Roll Detail Input'!C33)</f>
        <v>0</v>
      </c>
      <c r="C32" s="1203">
        <f>IF(SwitchRentRollType="Summary",'Rent Roll Summary Input'!D53,COUNTIFS('Rent Roll Detail Input'!$H$12:$H$1011,B32,'Rent Roll Detail Input'!$H$12:$H$1011,"&lt;&gt;0"))</f>
        <v>0</v>
      </c>
      <c r="D32" s="1204" t="str">
        <f>IFERROR(IF(SwitchRentRollType="Summary",'Rent Roll Summary Input'!E53,AVERAGEIFS('Rent Roll Detail Input'!$I$12:$I$1011,'Rent Roll Detail Input'!$H$12:$H$1011,$B32)),"N/A")</f>
        <v>N/A</v>
      </c>
      <c r="E32" s="1196" t="str">
        <f t="shared" si="11"/>
        <v>$0 - $0</v>
      </c>
      <c r="F32" s="1197">
        <f>IFERROR(IF(SwitchRentRollType="Summary",'Rent Roll Summary Input'!$F53,AVERAGEIF('Rent Roll Detail Input'!$H$12:$H$1011,$B32,'Rent Roll Detail Input'!$J$12:$J$1011)),0)*IFERROR(IF($C$4="Monthly",1,IF($C$4="Daily",1/RRS_DayNum,12)),0)</f>
        <v>0</v>
      </c>
      <c r="G32" s="1198" t="str">
        <f t="shared" si="9"/>
        <v>N/A</v>
      </c>
      <c r="H32" s="1197">
        <f t="shared" si="0"/>
        <v>0</v>
      </c>
      <c r="I32" s="1199">
        <f>IFERROR(IF(SwitchRentRollType="Summary",'Rent Roll Summary Input'!$G53,AVERAGEIF('Rent Roll Detail Input'!$H$12:$H$1011,$B32,'Rent Roll Detail Input'!$K$12:$K$1011)),0)*IFERROR(IF($C$4="Monthly",1,IF($C$4="Daily",1/RRS_DayNum,12)),0)</f>
        <v>0</v>
      </c>
      <c r="J32" s="1200" t="str">
        <f t="shared" si="1"/>
        <v>N/A</v>
      </c>
      <c r="K32" s="1199">
        <f t="shared" si="2"/>
        <v>0</v>
      </c>
      <c r="L32" s="1205">
        <f>IFERROR(IF(SwitchRentRollType="Summary",'Rent Roll Summary Input'!H53,AVERAGEIF('Rent Roll Detail Input'!$H$12:$H$1011,$B32,'Rent Roll Detail Input'!$L$12:$L$1011)),0)*IFERROR(IF($C$4="Monthly",1,IF($C$4="Daily",1/RRS_DayNum,12)),0)</f>
        <v>0</v>
      </c>
      <c r="M32" s="1202" t="str">
        <f t="shared" si="12"/>
        <v>N/A</v>
      </c>
      <c r="N32" s="1201">
        <f t="shared" si="4"/>
        <v>0</v>
      </c>
      <c r="O32" s="601">
        <f>IFERROR(IF(SwitchRentRollType="Summary",'Rent Roll Summary Input'!$I53,AVERAGEIF('Rent Roll Detail Input'!$H$12:$H$1011,$B32,'Rent Roll Detail Input'!$M$12:$M$1011)),0)*IFERROR(IF($C$4="Monthly",1,IF($C$4="Daily",1/RRS_DayNum,12)),0)</f>
        <v>0</v>
      </c>
      <c r="P32" s="601">
        <f t="shared" si="5"/>
        <v>0</v>
      </c>
      <c r="Q32" s="590"/>
      <c r="R32" s="606">
        <f t="array" ref="R32">MIN(IF('Rent Roll Detail Input'!$H$12:$H$1011=$B32,IF(RRS_RentRange="Scheduled",'Rent Roll Detail Input'!$K$12:$K$1011,'Rent Roll Detail Input'!$J$12:$J$1011)))</f>
        <v>0</v>
      </c>
      <c r="S32" s="606">
        <f t="array" ref="S32">MAX(IF('Rent Roll Detail Input'!$H$12:$H$1011=$B32,IF(RRS_RentRange="Scheduled",'Rent Roll Detail Input'!$K$12:$K$1011,'Rent Roll Detail Input'!$J$12:$J$1011)))</f>
        <v>0</v>
      </c>
      <c r="T32" s="606" t="str">
        <f t="shared" si="13"/>
        <v>N/A</v>
      </c>
      <c r="U32" s="603">
        <f>IF(SwitchRentRollType="Detail",IFERROR(AVERAGEIFS('Rent Roll Detail Input'!$J$12:$J$1011,'Rent Roll Detail Input'!$H$12:$H$1011,$B32,'Rent Roll Detail Input'!$J$12:$J$1011,"&lt;&gt;0"),0),'Rent Roll Summary Input'!F53)</f>
        <v>0</v>
      </c>
      <c r="V32" s="607" t="str">
        <f t="shared" si="14"/>
        <v/>
      </c>
      <c r="W32" s="605"/>
      <c r="X32" s="605"/>
      <c r="Y32" s="61"/>
      <c r="Z32" s="61"/>
      <c r="AA32" s="61"/>
      <c r="AB32" s="61"/>
      <c r="AC32" s="61"/>
      <c r="AD32" s="61"/>
    </row>
    <row r="33" spans="1:30" s="45" customFormat="1" ht="13.5" hidden="1" customHeight="1">
      <c r="A33" s="598"/>
      <c r="B33" s="1193">
        <f>IF(SwitchRentRollType="Summary",'Rent Roll Summary Input'!C54,'Rent Roll Detail Input'!C34)</f>
        <v>0</v>
      </c>
      <c r="C33" s="1203">
        <f>IF(SwitchRentRollType="Summary",'Rent Roll Summary Input'!D54,COUNTIFS('Rent Roll Detail Input'!$H$12:$H$1011,B33,'Rent Roll Detail Input'!$H$12:$H$1011,"&lt;&gt;0"))</f>
        <v>0</v>
      </c>
      <c r="D33" s="1204" t="str">
        <f>IFERROR(IF(SwitchRentRollType="Summary",'Rent Roll Summary Input'!E54,AVERAGEIFS('Rent Roll Detail Input'!$I$12:$I$1011,'Rent Roll Detail Input'!$H$12:$H$1011,$B33)),"N/A")</f>
        <v>N/A</v>
      </c>
      <c r="E33" s="1196" t="str">
        <f t="shared" si="11"/>
        <v>$0 - $0</v>
      </c>
      <c r="F33" s="1197">
        <f>IFERROR(IF(SwitchRentRollType="Summary",'Rent Roll Summary Input'!$F54,AVERAGEIF('Rent Roll Detail Input'!$H$12:$H$1011,$B33,'Rent Roll Detail Input'!$J$12:$J$1011)),0)*IFERROR(IF($C$4="Monthly",1,IF($C$4="Daily",1/RRS_DayNum,12)),0)</f>
        <v>0</v>
      </c>
      <c r="G33" s="1198" t="str">
        <f t="shared" si="9"/>
        <v>N/A</v>
      </c>
      <c r="H33" s="1197">
        <f t="shared" si="0"/>
        <v>0</v>
      </c>
      <c r="I33" s="1199">
        <f>IFERROR(IF(SwitchRentRollType="Summary",'Rent Roll Summary Input'!$G54,AVERAGEIF('Rent Roll Detail Input'!$H$12:$H$1011,$B33,'Rent Roll Detail Input'!$K$12:$K$1011)),0)*IFERROR(IF($C$4="Monthly",1,IF($C$4="Daily",1/RRS_DayNum,12)),0)</f>
        <v>0</v>
      </c>
      <c r="J33" s="1200" t="str">
        <f t="shared" si="1"/>
        <v>N/A</v>
      </c>
      <c r="K33" s="1199">
        <f t="shared" si="2"/>
        <v>0</v>
      </c>
      <c r="L33" s="1205">
        <f>IFERROR(IF(SwitchRentRollType="Summary",'Rent Roll Summary Input'!H54,AVERAGEIF('Rent Roll Detail Input'!$H$12:$H$1011,$B33,'Rent Roll Detail Input'!$L$12:$L$1011)),0)*IFERROR(IF($C$4="Monthly",1,IF($C$4="Daily",1/RRS_DayNum,12)),0)</f>
        <v>0</v>
      </c>
      <c r="M33" s="1202" t="str">
        <f t="shared" si="12"/>
        <v>N/A</v>
      </c>
      <c r="N33" s="1201">
        <f t="shared" si="4"/>
        <v>0</v>
      </c>
      <c r="O33" s="601">
        <f>IFERROR(IF(SwitchRentRollType="Summary",'Rent Roll Summary Input'!$I54,AVERAGEIF('Rent Roll Detail Input'!$H$12:$H$1011,$B33,'Rent Roll Detail Input'!$M$12:$M$1011)),0)*IFERROR(IF($C$4="Monthly",1,IF($C$4="Daily",1/RRS_DayNum,12)),0)</f>
        <v>0</v>
      </c>
      <c r="P33" s="601">
        <f t="shared" si="5"/>
        <v>0</v>
      </c>
      <c r="Q33" s="590"/>
      <c r="R33" s="606">
        <f t="array" ref="R33">MIN(IF('Rent Roll Detail Input'!$H$12:$H$1011=$B33,IF(RRS_RentRange="Scheduled",'Rent Roll Detail Input'!$K$12:$K$1011,'Rent Roll Detail Input'!$J$12:$J$1011)))</f>
        <v>0</v>
      </c>
      <c r="S33" s="606">
        <f t="array" ref="S33">MAX(IF('Rent Roll Detail Input'!$H$12:$H$1011=$B33,IF(RRS_RentRange="Scheduled",'Rent Roll Detail Input'!$K$12:$K$1011,'Rent Roll Detail Input'!$J$12:$J$1011)))</f>
        <v>0</v>
      </c>
      <c r="T33" s="606" t="str">
        <f t="shared" si="13"/>
        <v>N/A</v>
      </c>
      <c r="U33" s="603">
        <f>IF(SwitchRentRollType="Detail",IFERROR(AVERAGEIFS('Rent Roll Detail Input'!$J$12:$J$1011,'Rent Roll Detail Input'!$H$12:$H$1011,$B33,'Rent Roll Detail Input'!$J$12:$J$1011,"&lt;&gt;0"),0),'Rent Roll Summary Input'!F54)</f>
        <v>0</v>
      </c>
      <c r="V33" s="607" t="str">
        <f t="shared" si="14"/>
        <v/>
      </c>
      <c r="W33" s="605"/>
      <c r="X33" s="605"/>
      <c r="Y33" s="61"/>
      <c r="Z33" s="61"/>
      <c r="AA33" s="61"/>
      <c r="AB33" s="61"/>
      <c r="AC33" s="61"/>
      <c r="AD33" s="61"/>
    </row>
    <row r="34" spans="1:30" s="45" customFormat="1" ht="13.5" hidden="1" customHeight="1">
      <c r="A34" s="598"/>
      <c r="B34" s="1193">
        <f>IF(SwitchRentRollType="Summary",'Rent Roll Summary Input'!C55,'Rent Roll Detail Input'!C35)</f>
        <v>0</v>
      </c>
      <c r="C34" s="1203">
        <f>IF(SwitchRentRollType="Summary",'Rent Roll Summary Input'!D55,COUNTIFS('Rent Roll Detail Input'!$H$12:$H$1011,B34,'Rent Roll Detail Input'!$H$12:$H$1011,"&lt;&gt;0"))</f>
        <v>0</v>
      </c>
      <c r="D34" s="1204" t="str">
        <f>IFERROR(IF(SwitchRentRollType="Summary",'Rent Roll Summary Input'!E55,AVERAGEIFS('Rent Roll Detail Input'!$I$12:$I$1011,'Rent Roll Detail Input'!$H$12:$H$1011,$B34)),"N/A")</f>
        <v>N/A</v>
      </c>
      <c r="E34" s="1196" t="str">
        <f t="shared" si="11"/>
        <v>$0 - $0</v>
      </c>
      <c r="F34" s="1197">
        <f>IFERROR(IF(SwitchRentRollType="Summary",'Rent Roll Summary Input'!$F55,AVERAGEIF('Rent Roll Detail Input'!$H$12:$H$1011,$B34,'Rent Roll Detail Input'!$J$12:$J$1011)),0)*IFERROR(IF($C$4="Monthly",1,IF($C$4="Daily",1/RRS_DayNum,12)),0)</f>
        <v>0</v>
      </c>
      <c r="G34" s="1198" t="str">
        <f t="shared" si="9"/>
        <v>N/A</v>
      </c>
      <c r="H34" s="1197">
        <f t="shared" si="0"/>
        <v>0</v>
      </c>
      <c r="I34" s="1199">
        <f>IFERROR(IF(SwitchRentRollType="Summary",'Rent Roll Summary Input'!$G55,AVERAGEIF('Rent Roll Detail Input'!$H$12:$H$1011,$B34,'Rent Roll Detail Input'!$K$12:$K$1011)),0)*IFERROR(IF($C$4="Monthly",1,IF($C$4="Daily",1/RRS_DayNum,12)),0)</f>
        <v>0</v>
      </c>
      <c r="J34" s="1200" t="str">
        <f t="shared" si="1"/>
        <v>N/A</v>
      </c>
      <c r="K34" s="1199">
        <f t="shared" si="2"/>
        <v>0</v>
      </c>
      <c r="L34" s="1205">
        <f>IFERROR(IF(SwitchRentRollType="Summary",'Rent Roll Summary Input'!H55,AVERAGEIF('Rent Roll Detail Input'!$H$12:$H$1011,$B34,'Rent Roll Detail Input'!$L$12:$L$1011)),0)*IFERROR(IF($C$4="Monthly",1,IF($C$4="Daily",1/RRS_DayNum,12)),0)</f>
        <v>0</v>
      </c>
      <c r="M34" s="1202" t="str">
        <f t="shared" si="12"/>
        <v>N/A</v>
      </c>
      <c r="N34" s="1201">
        <f t="shared" si="4"/>
        <v>0</v>
      </c>
      <c r="O34" s="601">
        <f>IFERROR(IF(SwitchRentRollType="Summary",'Rent Roll Summary Input'!$I55,AVERAGEIF('Rent Roll Detail Input'!$H$12:$H$1011,$B34,'Rent Roll Detail Input'!$M$12:$M$1011)),0)*IFERROR(IF($C$4="Monthly",1,IF($C$4="Daily",1/RRS_DayNum,12)),0)</f>
        <v>0</v>
      </c>
      <c r="P34" s="601">
        <f t="shared" si="5"/>
        <v>0</v>
      </c>
      <c r="Q34" s="590"/>
      <c r="R34" s="606">
        <f t="array" ref="R34">MIN(IF('Rent Roll Detail Input'!$H$12:$H$1011=$B34,IF(RRS_RentRange="Scheduled",'Rent Roll Detail Input'!$K$12:$K$1011,'Rent Roll Detail Input'!$J$12:$J$1011)))</f>
        <v>0</v>
      </c>
      <c r="S34" s="606">
        <f t="array" ref="S34">MAX(IF('Rent Roll Detail Input'!$H$12:$H$1011=$B34,IF(RRS_RentRange="Scheduled",'Rent Roll Detail Input'!$K$12:$K$1011,'Rent Roll Detail Input'!$J$12:$J$1011)))</f>
        <v>0</v>
      </c>
      <c r="T34" s="606" t="str">
        <f t="shared" si="13"/>
        <v>N/A</v>
      </c>
      <c r="U34" s="603">
        <f>IF(SwitchRentRollType="Detail",IFERROR(AVERAGEIFS('Rent Roll Detail Input'!$J$12:$J$1011,'Rent Roll Detail Input'!$H$12:$H$1011,$B34,'Rent Roll Detail Input'!$J$12:$J$1011,"&lt;&gt;0"),0),'Rent Roll Summary Input'!F55)</f>
        <v>0</v>
      </c>
      <c r="V34" s="607" t="str">
        <f t="shared" si="14"/>
        <v/>
      </c>
      <c r="W34" s="605"/>
      <c r="X34" s="605"/>
      <c r="Y34" s="61"/>
      <c r="Z34" s="61"/>
      <c r="AA34" s="61"/>
      <c r="AB34" s="61"/>
      <c r="AC34" s="61"/>
      <c r="AD34" s="61"/>
    </row>
    <row r="35" spans="1:30" s="45" customFormat="1" ht="13.5" hidden="1" customHeight="1">
      <c r="A35" s="598"/>
      <c r="B35" s="1206">
        <f>IF(SwitchRentRollType="Summary",'Rent Roll Summary Input'!C56,'Rent Roll Detail Input'!C36)</f>
        <v>0</v>
      </c>
      <c r="C35" s="1207">
        <f>IF(SwitchRentRollType="Summary",'Rent Roll Summary Input'!D56,COUNTIFS('Rent Roll Detail Input'!$H$12:$H$1011,B35,'Rent Roll Detail Input'!$H$12:$H$1011,"&lt;&gt;0"))</f>
        <v>0</v>
      </c>
      <c r="D35" s="1204" t="str">
        <f>IFERROR(IF(SwitchRentRollType="Summary",'Rent Roll Summary Input'!E56,AVERAGEIFS('Rent Roll Detail Input'!$I$12:$I$1011,'Rent Roll Detail Input'!$H$12:$H$1011,$B35)),"N/A")</f>
        <v>N/A</v>
      </c>
      <c r="E35" s="1196" t="str">
        <f t="shared" si="11"/>
        <v>$0 - $0</v>
      </c>
      <c r="F35" s="1208">
        <f>IFERROR(IF(SwitchRentRollType="Summary",'Rent Roll Summary Input'!$F56,AVERAGEIF('Rent Roll Detail Input'!$H$12:$H$1011,$B35,'Rent Roll Detail Input'!$J$12:$J$1011)),0)*IFERROR(IF($C$4="Monthly",1,IF($C$4="Daily",1/RRS_DayNum,12)),0)</f>
        <v>0</v>
      </c>
      <c r="G35" s="1198" t="str">
        <f t="shared" si="9"/>
        <v>N/A</v>
      </c>
      <c r="H35" s="1197">
        <f t="shared" si="0"/>
        <v>0</v>
      </c>
      <c r="I35" s="1209">
        <f>IFERROR(IF(SwitchRentRollType="Summary",'Rent Roll Summary Input'!$G56,AVERAGEIF('Rent Roll Detail Input'!$H$12:$H$1011,$B35,'Rent Roll Detail Input'!$K$12:$K$1011)),0)*IFERROR(IF($C$4="Monthly",1,IF($C$4="Daily",1/RRS_DayNum,12)),0)</f>
        <v>0</v>
      </c>
      <c r="J35" s="1200" t="str">
        <f t="shared" si="1"/>
        <v>N/A</v>
      </c>
      <c r="K35" s="1199">
        <f t="shared" si="2"/>
        <v>0</v>
      </c>
      <c r="L35" s="1210">
        <f>IFERROR(IF(SwitchRentRollType="Summary",'Rent Roll Summary Input'!H56,AVERAGEIF('Rent Roll Detail Input'!$H$12:$H$1011,$B35,'Rent Roll Detail Input'!$L$12:$L$1011)),0)*IFERROR(IF($C$4="Monthly",1,IF($C$4="Daily",1/RRS_DayNum,12)),0)</f>
        <v>0</v>
      </c>
      <c r="M35" s="1211" t="str">
        <f t="shared" si="12"/>
        <v>N/A</v>
      </c>
      <c r="N35" s="1212">
        <f t="shared" si="4"/>
        <v>0</v>
      </c>
      <c r="O35" s="601">
        <f>IFERROR(IF(SwitchRentRollType="Summary",'Rent Roll Summary Input'!$I56,AVERAGEIF('Rent Roll Detail Input'!$H$12:$H$1011,$B35,'Rent Roll Detail Input'!$M$12:$M$1011)),0)*IFERROR(IF($C$4="Monthly",1,IF($C$4="Daily",1/RRS_DayNum,12)),0)</f>
        <v>0</v>
      </c>
      <c r="P35" s="601">
        <f t="shared" si="5"/>
        <v>0</v>
      </c>
      <c r="Q35" s="590"/>
      <c r="R35" s="606">
        <f t="array" ref="R35">MIN(IF('Rent Roll Detail Input'!$H$12:$H$1011=$B35,IF(RRS_RentRange="Scheduled",'Rent Roll Detail Input'!$K$12:$K$1011,'Rent Roll Detail Input'!$J$12:$J$1011)))</f>
        <v>0</v>
      </c>
      <c r="S35" s="606">
        <f t="array" ref="S35">MAX(IF('Rent Roll Detail Input'!$H$12:$H$1011=$B35,IF(RRS_RentRange="Scheduled",'Rent Roll Detail Input'!$K$12:$K$1011,'Rent Roll Detail Input'!$J$12:$J$1011)))</f>
        <v>0</v>
      </c>
      <c r="T35" s="606" t="str">
        <f t="shared" si="13"/>
        <v>N/A</v>
      </c>
      <c r="U35" s="603">
        <f>IF(SwitchRentRollType="Detail",IFERROR(AVERAGEIFS('Rent Roll Detail Input'!$J$12:$J$1011,'Rent Roll Detail Input'!$H$12:$H$1011,$B35,'Rent Roll Detail Input'!$J$12:$J$1011,"&lt;&gt;0"),0),'Rent Roll Summary Input'!F56)</f>
        <v>0</v>
      </c>
      <c r="V35" s="607" t="str">
        <f t="shared" si="14"/>
        <v/>
      </c>
      <c r="W35" s="605"/>
      <c r="X35" s="605"/>
      <c r="Y35" s="61"/>
      <c r="Z35" s="61"/>
      <c r="AA35" s="61"/>
      <c r="AB35" s="61"/>
      <c r="AC35" s="61"/>
      <c r="AD35" s="61"/>
    </row>
    <row r="36" spans="1:30" s="130" customFormat="1" ht="13.5" customHeight="1">
      <c r="A36" s="635"/>
      <c r="B36" s="1213" t="s">
        <v>1716</v>
      </c>
      <c r="C36" s="1214">
        <f>SUM(C11:C35)</f>
        <v>27</v>
      </c>
      <c r="D36" s="1215">
        <f>IFERROR(T36/C36,0)</f>
        <v>839.77777777777783</v>
      </c>
      <c r="E36" s="1215"/>
      <c r="F36" s="1216">
        <f>IFERROR(SUMPRODUCT($C$11:$C$35,$F$11:$F$35)/$C$36,0)</f>
        <v>1904.7777777777778</v>
      </c>
      <c r="G36" s="1217">
        <f>IF(D36="N/A","N/A",IFERROR(F36/D36,0))</f>
        <v>2.2681926435564965</v>
      </c>
      <c r="H36" s="1216">
        <f>SUM(H11:H35)</f>
        <v>51429</v>
      </c>
      <c r="I36" s="1216">
        <f>IFERROR(SUMPRODUCT($C$11:$C$35,$I$11:$I$35)/$C$36,0)</f>
        <v>2286.2592592592591</v>
      </c>
      <c r="J36" s="1217">
        <f>IF($D$36="N/A","N/A",IFERROR(I36/D36,0))</f>
        <v>2.7224574402399222</v>
      </c>
      <c r="K36" s="1216">
        <f>SUM(K11:K35)</f>
        <v>61729</v>
      </c>
      <c r="L36" s="1218">
        <f>IFERROR(SUMPRODUCT(C11:C35,L11:L35)/C36,0)</f>
        <v>2710.7407407407409</v>
      </c>
      <c r="M36" s="1219">
        <f>IFERROR(L36/D36,0)</f>
        <v>3.227926259151451</v>
      </c>
      <c r="N36" s="1218">
        <f>SUM(N11:N35)</f>
        <v>73190</v>
      </c>
      <c r="O36" s="608">
        <f>IFERROR(SUMPRODUCT($C$11:$C$35,$O$11:$O$35)/$C$36,0)</f>
        <v>0</v>
      </c>
      <c r="P36" s="608">
        <f>SUM(P11:P35)</f>
        <v>0</v>
      </c>
      <c r="Q36" s="590"/>
      <c r="R36" s="606"/>
      <c r="S36" s="606"/>
      <c r="T36" s="606">
        <f>IF(T1="Rentable",SUM(T11:T35),IF(SwitchRentRollType="Detail",'Rent Roll Detail Input'!N8,'Rent Roll Summary Input'!R9))</f>
        <v>22674</v>
      </c>
      <c r="U36" s="603">
        <f>IFERROR(SUMPRODUCT(C11:C35,U11:U35)/C36,0)</f>
        <v>1904.7777777777778</v>
      </c>
      <c r="V36" s="607">
        <f t="shared" si="7"/>
        <v>2.2681926435564965</v>
      </c>
      <c r="W36" s="610"/>
      <c r="X36" s="610"/>
      <c r="Y36" s="131"/>
      <c r="Z36" s="131"/>
      <c r="AA36" s="131"/>
      <c r="AB36" s="991"/>
      <c r="AC36" s="131"/>
      <c r="AD36" s="131"/>
    </row>
    <row r="37" spans="1:30" ht="13.5" customHeight="1">
      <c r="A37" s="589"/>
      <c r="B37" s="1220"/>
      <c r="C37" s="1221"/>
      <c r="D37" s="1221"/>
      <c r="E37" s="1222"/>
      <c r="F37" s="1222"/>
      <c r="G37" s="1222"/>
      <c r="H37" s="1222"/>
      <c r="I37" s="1223"/>
      <c r="J37" s="1224"/>
      <c r="K37" s="1224"/>
      <c r="L37" s="1225"/>
      <c r="M37" s="1225"/>
      <c r="N37" s="1225"/>
      <c r="O37" s="613"/>
      <c r="P37" s="613"/>
      <c r="Q37" s="590"/>
      <c r="R37" s="614"/>
      <c r="S37" s="614"/>
      <c r="T37" s="611"/>
      <c r="U37" s="612"/>
      <c r="V37" s="612"/>
      <c r="W37" s="597"/>
      <c r="X37" s="597"/>
      <c r="Y37" s="25"/>
      <c r="Z37" s="25"/>
      <c r="AA37" s="25"/>
      <c r="AB37" s="25"/>
      <c r="AC37" s="25"/>
      <c r="AD37" s="25"/>
    </row>
    <row r="38" spans="1:30" ht="13.5" customHeight="1">
      <c r="A38" s="589"/>
      <c r="B38" s="1213" t="s">
        <v>1717</v>
      </c>
      <c r="C38" s="1226"/>
      <c r="D38" s="1227"/>
      <c r="E38" s="1215"/>
      <c r="F38" s="1228">
        <f>IF($C$4="Annual",SUMPRODUCT($C$11:$C$35,$F$11:$F$35),IF($C$4="Monthly",SUMPRODUCT($C$11:$C$35,$F$11:$F$35)*12,SUMPRODUCT($C$11:$C$35,$F$11:$F$35)*12*RRS_DayNum))</f>
        <v>617148</v>
      </c>
      <c r="G38" s="1215"/>
      <c r="H38" s="1215"/>
      <c r="I38" s="1228">
        <f>IF($C$4="Annual",SUMPRODUCT($C$11:$C$35,$I$11:$I$35),IF($C$4="Monthly",SUMPRODUCT($C$11:$C$35,$I$11:$I$35)*12,SUMPRODUCT($C$11:$C$35,$I$11:$I$35)*RRS_DayNum*12))</f>
        <v>740748</v>
      </c>
      <c r="J38" s="1229"/>
      <c r="K38" s="1229"/>
      <c r="L38" s="1228">
        <f>IF($C$4="Annual",SUMPRODUCT($C$11:$C$35,$L$11:$L$35),IF($C$4="Monthly",SUMPRODUCT($C$11:$C$35,$L$11:$L$35)*12,SUMPRODUCT($C$11:$C$35,$L$11:$L$35)*RRS_DayNum*12))</f>
        <v>878280</v>
      </c>
      <c r="M38" s="1229"/>
      <c r="N38" s="1229"/>
      <c r="O38" s="609">
        <f>IF($C$4="Annual",SUMPRODUCT($C$11:$C$35,$O$11:$O$35),SUMPRODUCT($C$11:$C$35,$O$11:$O$35)*12)</f>
        <v>0</v>
      </c>
      <c r="P38" s="615"/>
      <c r="Q38" s="590"/>
      <c r="R38" s="614"/>
      <c r="S38" s="614"/>
      <c r="T38" s="616"/>
      <c r="U38" s="617">
        <f>U36*C36*12</f>
        <v>617148</v>
      </c>
      <c r="V38" s="618"/>
      <c r="W38" s="597"/>
      <c r="X38" s="597"/>
      <c r="Y38" s="25"/>
      <c r="Z38" s="25"/>
      <c r="AA38" s="25"/>
      <c r="AB38" s="25"/>
      <c r="AC38" s="25"/>
      <c r="AD38" s="25"/>
    </row>
    <row r="39" spans="1:30" ht="13.5" customHeight="1">
      <c r="A39" s="589"/>
      <c r="B39" s="597"/>
      <c r="C39" s="619"/>
      <c r="D39" s="619"/>
      <c r="E39" s="620"/>
      <c r="F39" s="620"/>
      <c r="G39" s="620"/>
      <c r="H39" s="620"/>
      <c r="I39" s="1582"/>
      <c r="J39" s="1582"/>
      <c r="K39" s="597"/>
      <c r="L39" s="621"/>
      <c r="M39" s="622"/>
      <c r="N39" s="622"/>
      <c r="O39" s="622"/>
      <c r="P39" s="622"/>
      <c r="Q39" s="590"/>
      <c r="R39" s="590"/>
      <c r="S39" s="590"/>
      <c r="T39" s="619"/>
      <c r="U39" s="623"/>
      <c r="V39" s="623"/>
      <c r="W39" s="597"/>
      <c r="X39" s="597"/>
      <c r="Y39" s="25"/>
      <c r="Z39" s="25"/>
      <c r="AA39" s="25"/>
      <c r="AB39" s="25"/>
      <c r="AC39" s="25"/>
      <c r="AD39" s="25"/>
    </row>
    <row r="40" spans="1:30" ht="13.5" customHeight="1">
      <c r="A40" s="589"/>
      <c r="B40" s="624" t="s">
        <v>718</v>
      </c>
      <c r="C40" s="589"/>
      <c r="D40" s="625"/>
      <c r="E40" s="626"/>
      <c r="F40" s="626"/>
      <c r="G40" s="626"/>
      <c r="H40" s="626"/>
      <c r="I40" s="589"/>
      <c r="J40" s="589"/>
      <c r="K40" s="589"/>
      <c r="L40" s="589"/>
      <c r="M40" s="589"/>
      <c r="N40" s="589"/>
      <c r="O40" s="589"/>
      <c r="P40" s="589"/>
      <c r="Q40" s="590"/>
      <c r="R40" s="590"/>
      <c r="S40" s="590"/>
      <c r="T40" s="625"/>
      <c r="U40" s="625"/>
      <c r="V40" s="625"/>
      <c r="W40" s="589"/>
      <c r="X40" s="589"/>
      <c r="AA40" s="25"/>
      <c r="AB40" s="25"/>
      <c r="AC40" s="25"/>
      <c r="AD40" s="25"/>
    </row>
    <row r="41" spans="1:30" ht="13.5" customHeight="1">
      <c r="A41" s="589"/>
      <c r="B41" s="589"/>
      <c r="C41" s="589"/>
      <c r="D41" s="589"/>
      <c r="E41" s="592"/>
      <c r="F41" s="592"/>
      <c r="G41" s="592"/>
      <c r="H41" s="592"/>
      <c r="I41" s="589"/>
      <c r="J41" s="589"/>
      <c r="K41" s="589"/>
      <c r="L41" s="589"/>
      <c r="M41" s="589"/>
      <c r="N41" s="589"/>
      <c r="O41" s="589"/>
      <c r="P41" s="589"/>
      <c r="Q41" s="590"/>
      <c r="R41" s="590"/>
      <c r="S41" s="590"/>
      <c r="T41" s="589"/>
      <c r="U41" s="589"/>
      <c r="V41" s="589"/>
      <c r="W41" s="589"/>
      <c r="X41" s="589"/>
      <c r="AA41" s="25"/>
      <c r="AB41" s="25"/>
      <c r="AC41" s="25"/>
      <c r="AD41" s="25"/>
    </row>
    <row r="42" spans="1:30" ht="13.5" customHeight="1">
      <c r="A42" s="589"/>
      <c r="B42" s="589"/>
      <c r="C42" s="589"/>
      <c r="D42" s="589"/>
      <c r="E42" s="592"/>
      <c r="F42" s="592"/>
      <c r="G42" s="592"/>
      <c r="H42" s="592"/>
      <c r="I42" s="1577"/>
      <c r="J42" s="1578"/>
      <c r="K42" s="645"/>
      <c r="L42" s="627"/>
      <c r="M42" s="628"/>
      <c r="N42" s="628"/>
      <c r="O42" s="628"/>
      <c r="P42" s="628"/>
      <c r="Q42" s="590"/>
      <c r="R42" s="590"/>
      <c r="S42" s="590"/>
      <c r="T42" s="589"/>
      <c r="U42" s="589"/>
      <c r="V42" s="589"/>
      <c r="W42" s="589"/>
      <c r="X42" s="589"/>
      <c r="AA42" s="25"/>
      <c r="AB42" s="25"/>
      <c r="AC42" s="25"/>
      <c r="AD42" s="25"/>
    </row>
    <row r="43" spans="1:30" ht="13.5" customHeight="1">
      <c r="A43" s="589"/>
      <c r="B43" s="589"/>
      <c r="C43" s="589"/>
      <c r="D43" s="589"/>
      <c r="E43" s="592"/>
      <c r="F43" s="592"/>
      <c r="G43" s="592"/>
      <c r="H43" s="592"/>
      <c r="I43" s="589"/>
      <c r="J43" s="589"/>
      <c r="K43" s="589"/>
      <c r="L43" s="589"/>
      <c r="M43" s="589"/>
      <c r="N43" s="589"/>
      <c r="O43" s="589"/>
      <c r="P43" s="589"/>
      <c r="Q43" s="590"/>
      <c r="R43" s="590"/>
      <c r="S43" s="590"/>
      <c r="T43" s="589"/>
      <c r="U43" s="589"/>
      <c r="V43" s="589"/>
      <c r="W43" s="589"/>
      <c r="X43" s="589"/>
      <c r="AA43" s="25"/>
      <c r="AB43" s="25"/>
      <c r="AC43" s="25"/>
      <c r="AD43" s="25"/>
    </row>
    <row r="44" spans="1:30" ht="13.5" customHeight="1">
      <c r="A44" s="589"/>
      <c r="B44" s="589"/>
      <c r="C44" s="589"/>
      <c r="D44" s="589"/>
      <c r="E44" s="592"/>
      <c r="F44" s="592"/>
      <c r="G44" s="592"/>
      <c r="H44" s="592"/>
      <c r="I44" s="589"/>
      <c r="J44" s="589"/>
      <c r="K44" s="589"/>
      <c r="L44" s="589"/>
      <c r="M44" s="589"/>
      <c r="N44" s="589"/>
      <c r="O44" s="589"/>
      <c r="P44" s="589"/>
      <c r="Q44" s="590"/>
      <c r="R44" s="590"/>
      <c r="S44" s="590"/>
      <c r="T44" s="589"/>
      <c r="U44" s="589"/>
      <c r="V44" s="589"/>
      <c r="W44" s="589"/>
      <c r="X44" s="589"/>
      <c r="AA44" s="25"/>
      <c r="AB44" s="25"/>
      <c r="AC44" s="25"/>
      <c r="AD44" s="25"/>
    </row>
    <row r="45" spans="1:30" ht="13.5" customHeight="1">
      <c r="A45" s="589"/>
      <c r="B45" s="589"/>
      <c r="C45" s="589"/>
      <c r="D45" s="589"/>
      <c r="E45" s="592"/>
      <c r="F45" s="592"/>
      <c r="G45" s="592"/>
      <c r="H45" s="592"/>
      <c r="I45" s="589"/>
      <c r="J45" s="589"/>
      <c r="K45" s="589"/>
      <c r="L45" s="589"/>
      <c r="M45" s="629"/>
      <c r="N45" s="629"/>
      <c r="O45" s="629"/>
      <c r="P45" s="629"/>
      <c r="Q45" s="590"/>
      <c r="R45" s="590"/>
      <c r="S45" s="590"/>
      <c r="T45" s="589"/>
      <c r="U45" s="589"/>
      <c r="V45" s="589"/>
      <c r="W45" s="589"/>
      <c r="X45" s="589"/>
      <c r="AA45" s="25"/>
      <c r="AB45" s="25"/>
      <c r="AC45" s="25"/>
      <c r="AD45" s="25"/>
    </row>
    <row r="46" spans="1:30" ht="13.5" customHeight="1">
      <c r="A46" s="589"/>
      <c r="B46" s="589"/>
      <c r="C46" s="589"/>
      <c r="D46" s="589"/>
      <c r="E46" s="592"/>
      <c r="F46" s="592"/>
      <c r="G46" s="592"/>
      <c r="H46" s="592"/>
      <c r="I46" s="1577"/>
      <c r="J46" s="1578"/>
      <c r="K46" s="645"/>
      <c r="L46" s="630"/>
      <c r="M46" s="631"/>
      <c r="N46" s="631"/>
      <c r="O46" s="631"/>
      <c r="P46" s="631"/>
      <c r="Q46" s="590"/>
      <c r="R46" s="590"/>
      <c r="S46" s="590"/>
      <c r="T46" s="589"/>
      <c r="U46" s="589"/>
      <c r="V46" s="589"/>
      <c r="W46" s="589"/>
      <c r="X46" s="589"/>
    </row>
    <row r="47" spans="1:30" ht="13.5" customHeight="1">
      <c r="A47" s="589"/>
      <c r="B47" s="589"/>
      <c r="C47" s="589"/>
      <c r="D47" s="589"/>
      <c r="E47" s="592"/>
      <c r="F47" s="592"/>
      <c r="G47" s="592"/>
      <c r="H47" s="592"/>
      <c r="I47" s="589"/>
      <c r="J47" s="589"/>
      <c r="K47" s="589"/>
      <c r="L47" s="627"/>
      <c r="M47" s="631"/>
      <c r="N47" s="631"/>
      <c r="O47" s="631"/>
      <c r="P47" s="631"/>
      <c r="Q47" s="590"/>
      <c r="R47" s="590"/>
      <c r="S47" s="590"/>
      <c r="T47" s="589"/>
      <c r="U47" s="589"/>
      <c r="V47" s="589"/>
      <c r="W47" s="589"/>
      <c r="X47" s="589"/>
    </row>
    <row r="48" spans="1:30" ht="13.5" customHeight="1">
      <c r="A48" s="589"/>
      <c r="B48" s="597"/>
      <c r="C48" s="589"/>
      <c r="D48" s="589"/>
      <c r="E48" s="592"/>
      <c r="F48" s="592"/>
      <c r="G48" s="592"/>
      <c r="H48" s="592"/>
      <c r="I48" s="589"/>
      <c r="J48" s="589"/>
      <c r="K48" s="589"/>
      <c r="L48" s="589"/>
      <c r="M48" s="589"/>
      <c r="N48" s="589"/>
      <c r="O48" s="589"/>
      <c r="P48" s="589"/>
      <c r="Q48" s="590"/>
      <c r="R48" s="590"/>
      <c r="S48" s="590"/>
      <c r="T48" s="589"/>
      <c r="U48" s="589"/>
      <c r="V48" s="589"/>
      <c r="W48" s="589"/>
      <c r="X48" s="589"/>
    </row>
    <row r="49" spans="1:24" ht="13.5" customHeight="1">
      <c r="A49" s="589"/>
      <c r="B49" s="589"/>
      <c r="C49" s="589"/>
      <c r="D49" s="589"/>
      <c r="E49" s="592"/>
      <c r="F49" s="592"/>
      <c r="G49" s="592"/>
      <c r="H49" s="592"/>
      <c r="I49" s="589"/>
      <c r="J49" s="589"/>
      <c r="K49" s="589"/>
      <c r="L49" s="589"/>
      <c r="M49" s="589"/>
      <c r="N49" s="589"/>
      <c r="O49" s="589"/>
      <c r="P49" s="589"/>
      <c r="Q49" s="590"/>
      <c r="R49" s="590"/>
      <c r="S49" s="590"/>
      <c r="T49" s="589"/>
      <c r="U49" s="589"/>
      <c r="V49" s="589"/>
      <c r="W49" s="589"/>
      <c r="X49" s="589"/>
    </row>
    <row r="50" spans="1:24" ht="13.5" customHeight="1">
      <c r="A50" s="589"/>
      <c r="B50" s="589"/>
      <c r="C50" s="589"/>
      <c r="D50" s="589"/>
      <c r="E50" s="592"/>
      <c r="F50" s="592"/>
      <c r="G50" s="592"/>
      <c r="H50" s="592"/>
      <c r="I50" s="589"/>
      <c r="J50" s="589"/>
      <c r="K50" s="589"/>
      <c r="L50" s="589"/>
      <c r="M50" s="589"/>
      <c r="N50" s="589"/>
      <c r="O50" s="589"/>
      <c r="P50" s="589"/>
      <c r="Q50" s="590"/>
      <c r="R50" s="590"/>
      <c r="S50" s="590"/>
      <c r="T50" s="589"/>
      <c r="U50" s="589"/>
      <c r="V50" s="589"/>
      <c r="W50" s="589"/>
      <c r="X50" s="589"/>
    </row>
    <row r="51" spans="1:24" ht="13.5" customHeight="1">
      <c r="A51" s="589"/>
      <c r="B51" s="589"/>
      <c r="C51" s="589"/>
      <c r="D51" s="589"/>
      <c r="E51" s="592"/>
      <c r="F51" s="592"/>
      <c r="G51" s="592"/>
      <c r="H51" s="592"/>
      <c r="I51" s="589"/>
      <c r="J51" s="589"/>
      <c r="K51" s="589"/>
      <c r="L51" s="589"/>
      <c r="M51" s="589"/>
      <c r="N51" s="589"/>
      <c r="O51" s="589"/>
      <c r="P51" s="589"/>
      <c r="Q51" s="590"/>
      <c r="R51" s="590"/>
      <c r="S51" s="590"/>
      <c r="T51" s="589"/>
      <c r="U51" s="589"/>
      <c r="V51" s="589"/>
      <c r="W51" s="589"/>
      <c r="X51" s="589"/>
    </row>
    <row r="52" spans="1:24" ht="13.5" customHeight="1">
      <c r="A52" s="589"/>
      <c r="B52" s="589"/>
      <c r="C52" s="589"/>
      <c r="D52" s="589"/>
      <c r="E52" s="592"/>
      <c r="F52" s="592"/>
      <c r="G52" s="592"/>
      <c r="H52" s="592"/>
      <c r="I52" s="589"/>
      <c r="J52" s="589"/>
      <c r="K52" s="589"/>
      <c r="L52" s="589"/>
      <c r="M52" s="589"/>
      <c r="N52" s="589"/>
      <c r="O52" s="589"/>
      <c r="P52" s="589"/>
      <c r="Q52" s="590"/>
      <c r="R52" s="590"/>
      <c r="S52" s="590"/>
      <c r="T52" s="589"/>
      <c r="U52" s="589"/>
      <c r="V52" s="589"/>
      <c r="W52" s="589"/>
      <c r="X52" s="589"/>
    </row>
    <row r="53" spans="1:24" ht="13.5">
      <c r="A53" s="589"/>
      <c r="B53" s="589"/>
      <c r="C53" s="589"/>
      <c r="D53" s="589"/>
      <c r="E53" s="592"/>
      <c r="F53" s="592"/>
      <c r="G53" s="592"/>
      <c r="H53" s="592"/>
      <c r="I53" s="589"/>
      <c r="J53" s="589"/>
      <c r="K53" s="589"/>
      <c r="L53" s="589"/>
      <c r="M53" s="589"/>
      <c r="N53" s="589"/>
      <c r="O53" s="589"/>
      <c r="P53" s="589"/>
      <c r="Q53" s="590"/>
      <c r="R53" s="590"/>
      <c r="S53" s="590"/>
      <c r="T53" s="589"/>
      <c r="U53" s="589"/>
      <c r="V53" s="589"/>
      <c r="W53" s="589"/>
      <c r="X53" s="589"/>
    </row>
    <row r="54" spans="1:24" ht="13.5">
      <c r="A54" s="589"/>
      <c r="B54" s="589"/>
      <c r="C54" s="589"/>
      <c r="D54" s="589"/>
      <c r="E54" s="592"/>
      <c r="F54" s="592"/>
      <c r="G54" s="592"/>
      <c r="H54" s="592"/>
      <c r="I54" s="589"/>
      <c r="J54" s="589"/>
      <c r="K54" s="589"/>
      <c r="L54" s="589"/>
      <c r="M54" s="589"/>
      <c r="N54" s="589"/>
      <c r="O54" s="589"/>
      <c r="P54" s="589"/>
      <c r="Q54" s="590"/>
      <c r="R54" s="590"/>
      <c r="S54" s="590"/>
      <c r="T54" s="589"/>
      <c r="U54" s="589"/>
      <c r="V54" s="589"/>
      <c r="W54" s="589"/>
      <c r="X54" s="589"/>
    </row>
    <row r="55" spans="1:24" ht="13.5">
      <c r="A55" s="589"/>
      <c r="B55" s="589"/>
      <c r="C55" s="589"/>
      <c r="D55" s="589"/>
      <c r="E55" s="592"/>
      <c r="F55" s="592"/>
      <c r="G55" s="592"/>
      <c r="H55" s="592"/>
      <c r="I55" s="589"/>
      <c r="J55" s="589"/>
      <c r="K55" s="589"/>
      <c r="L55" s="589"/>
      <c r="M55" s="589"/>
      <c r="N55" s="589"/>
      <c r="O55" s="589"/>
      <c r="P55" s="589"/>
      <c r="Q55" s="590"/>
      <c r="R55" s="590"/>
      <c r="S55" s="590"/>
      <c r="T55" s="589"/>
      <c r="U55" s="589"/>
      <c r="V55" s="589"/>
      <c r="W55" s="589"/>
      <c r="X55" s="589"/>
    </row>
    <row r="56" spans="1:24" ht="13.5">
      <c r="A56" s="589"/>
      <c r="B56" s="589"/>
      <c r="C56" s="589"/>
      <c r="D56" s="589"/>
      <c r="E56" s="592"/>
      <c r="F56" s="592"/>
      <c r="G56" s="592"/>
      <c r="H56" s="592"/>
      <c r="I56" s="589"/>
      <c r="J56" s="589"/>
      <c r="K56" s="589"/>
      <c r="L56" s="589"/>
      <c r="M56" s="589"/>
      <c r="N56" s="589"/>
      <c r="O56" s="589"/>
      <c r="P56" s="589"/>
      <c r="Q56" s="590"/>
      <c r="R56" s="590"/>
      <c r="S56" s="590"/>
      <c r="T56" s="589"/>
      <c r="U56" s="589"/>
      <c r="V56" s="589"/>
      <c r="W56" s="589"/>
      <c r="X56" s="589"/>
    </row>
    <row r="57" spans="1:24" ht="13.5">
      <c r="A57" s="589"/>
      <c r="B57" s="589"/>
      <c r="C57" s="589"/>
      <c r="D57" s="589"/>
      <c r="E57" s="592"/>
      <c r="F57" s="592"/>
      <c r="G57" s="592"/>
      <c r="H57" s="592"/>
      <c r="I57" s="589"/>
      <c r="J57" s="589"/>
      <c r="K57" s="589"/>
      <c r="L57" s="589"/>
      <c r="M57" s="589"/>
      <c r="N57" s="589"/>
      <c r="O57" s="589"/>
      <c r="P57" s="589"/>
      <c r="Q57" s="590"/>
      <c r="R57" s="590"/>
      <c r="S57" s="590"/>
      <c r="T57" s="589"/>
      <c r="U57" s="589"/>
      <c r="V57" s="589"/>
      <c r="W57" s="589"/>
      <c r="X57" s="589"/>
    </row>
    <row r="58" spans="1:24" ht="13.5">
      <c r="A58" s="589"/>
      <c r="B58" s="589"/>
      <c r="C58" s="589"/>
      <c r="D58" s="589"/>
      <c r="E58" s="592"/>
      <c r="F58" s="592"/>
      <c r="G58" s="592"/>
      <c r="H58" s="592"/>
      <c r="I58" s="589"/>
      <c r="J58" s="589"/>
      <c r="K58" s="589"/>
      <c r="L58" s="589"/>
      <c r="M58" s="589"/>
      <c r="N58" s="589"/>
      <c r="O58" s="589"/>
      <c r="P58" s="589"/>
      <c r="Q58" s="590"/>
      <c r="R58" s="590"/>
      <c r="S58" s="590"/>
      <c r="T58" s="589"/>
      <c r="U58" s="589"/>
      <c r="V58" s="589"/>
      <c r="W58" s="589"/>
      <c r="X58" s="589"/>
    </row>
    <row r="59" spans="1:24">
      <c r="A59" s="25"/>
      <c r="B59" s="25"/>
      <c r="C59" s="25"/>
      <c r="D59" s="25"/>
      <c r="E59" s="1088"/>
      <c r="F59" s="1088"/>
      <c r="G59" s="1088"/>
      <c r="H59" s="1088"/>
      <c r="I59" s="25"/>
      <c r="J59" s="25"/>
      <c r="K59" s="25"/>
      <c r="L59" s="25"/>
      <c r="M59" s="25"/>
      <c r="N59" s="25"/>
      <c r="O59" s="25"/>
      <c r="P59" s="25"/>
      <c r="Q59" s="516"/>
      <c r="R59" s="516"/>
      <c r="S59" s="516"/>
      <c r="T59" s="25"/>
      <c r="U59" s="25"/>
      <c r="V59" s="25"/>
      <c r="W59" s="25"/>
      <c r="X59" s="25"/>
    </row>
    <row r="60" spans="1:24">
      <c r="A60" s="25"/>
      <c r="B60" s="25"/>
      <c r="C60" s="25"/>
      <c r="D60" s="25"/>
      <c r="E60" s="1088"/>
      <c r="F60" s="1088"/>
      <c r="G60" s="1088"/>
      <c r="H60" s="1088"/>
      <c r="I60" s="25"/>
      <c r="J60" s="25"/>
      <c r="K60" s="25"/>
      <c r="L60" s="25"/>
      <c r="M60" s="25"/>
      <c r="N60" s="25"/>
      <c r="O60" s="25"/>
      <c r="P60" s="25"/>
      <c r="Q60" s="516"/>
      <c r="R60" s="516"/>
      <c r="S60" s="516"/>
      <c r="T60" s="25"/>
      <c r="U60" s="25"/>
      <c r="V60" s="25"/>
      <c r="W60" s="25"/>
      <c r="X60" s="25"/>
    </row>
    <row r="61" spans="1:24">
      <c r="A61" s="25"/>
      <c r="B61" s="25"/>
      <c r="C61" s="25"/>
      <c r="D61" s="25"/>
      <c r="E61" s="1088"/>
      <c r="F61" s="1088"/>
      <c r="G61" s="1088"/>
      <c r="H61" s="1088"/>
      <c r="I61" s="25"/>
      <c r="J61" s="25"/>
      <c r="K61" s="25"/>
      <c r="L61" s="25"/>
      <c r="M61" s="25"/>
      <c r="N61" s="25"/>
      <c r="O61" s="25"/>
      <c r="P61" s="25"/>
      <c r="Q61" s="516"/>
      <c r="R61" s="516"/>
      <c r="S61" s="516"/>
      <c r="T61" s="25"/>
      <c r="U61" s="25"/>
      <c r="V61" s="25"/>
      <c r="W61" s="25"/>
      <c r="X61" s="25"/>
    </row>
    <row r="62" spans="1:24">
      <c r="A62" s="25"/>
      <c r="B62" s="25"/>
      <c r="C62" s="25"/>
      <c r="D62" s="25"/>
      <c r="E62" s="1088"/>
      <c r="F62" s="1088"/>
      <c r="G62" s="1088"/>
      <c r="H62" s="1088"/>
      <c r="I62" s="25"/>
      <c r="J62" s="25"/>
      <c r="K62" s="25"/>
      <c r="L62" s="25"/>
      <c r="M62" s="25"/>
      <c r="N62" s="25"/>
      <c r="O62" s="25"/>
      <c r="P62" s="25"/>
      <c r="Q62" s="516"/>
      <c r="R62" s="516"/>
      <c r="S62" s="516"/>
      <c r="T62" s="25"/>
      <c r="U62" s="25"/>
      <c r="V62" s="25"/>
      <c r="W62" s="25"/>
      <c r="X62" s="25"/>
    </row>
    <row r="63" spans="1:24">
      <c r="A63" s="25"/>
      <c r="B63" s="25"/>
      <c r="C63" s="25"/>
      <c r="D63" s="25"/>
      <c r="E63" s="1088"/>
      <c r="F63" s="1088"/>
      <c r="G63" s="1088"/>
      <c r="H63" s="1088"/>
      <c r="I63" s="25"/>
      <c r="J63" s="25"/>
      <c r="K63" s="25"/>
      <c r="L63" s="25"/>
      <c r="M63" s="25"/>
      <c r="N63" s="25"/>
      <c r="O63" s="25"/>
      <c r="P63" s="25"/>
      <c r="Q63" s="516"/>
      <c r="R63" s="516"/>
      <c r="S63" s="516"/>
      <c r="T63" s="25"/>
      <c r="U63" s="25"/>
      <c r="V63" s="25"/>
      <c r="W63" s="25"/>
      <c r="X63" s="25"/>
    </row>
    <row r="64" spans="1:24">
      <c r="A64" s="25"/>
      <c r="B64" s="25"/>
      <c r="C64" s="25"/>
      <c r="D64" s="25"/>
      <c r="E64" s="1088"/>
      <c r="F64" s="1088"/>
      <c r="G64" s="1088"/>
      <c r="H64" s="1088"/>
      <c r="I64" s="25"/>
      <c r="J64" s="25"/>
      <c r="K64" s="25"/>
      <c r="L64" s="25"/>
      <c r="M64" s="25"/>
      <c r="N64" s="25"/>
      <c r="O64" s="25"/>
      <c r="P64" s="25"/>
      <c r="Q64" s="516"/>
      <c r="R64" s="516"/>
      <c r="S64" s="516"/>
      <c r="T64" s="25"/>
      <c r="U64" s="25"/>
      <c r="V64" s="25"/>
      <c r="W64" s="25"/>
      <c r="X64" s="25"/>
    </row>
    <row r="65" spans="1:24">
      <c r="A65" s="25"/>
      <c r="B65" s="25"/>
      <c r="C65" s="25"/>
      <c r="D65" s="25"/>
      <c r="E65" s="1088"/>
      <c r="F65" s="1088"/>
      <c r="G65" s="1088"/>
      <c r="H65" s="1088"/>
      <c r="I65" s="25"/>
      <c r="J65" s="25"/>
      <c r="K65" s="25"/>
      <c r="L65" s="25"/>
      <c r="M65" s="25"/>
      <c r="N65" s="25"/>
      <c r="O65" s="25"/>
      <c r="P65" s="25"/>
      <c r="Q65" s="516"/>
      <c r="R65" s="516"/>
      <c r="S65" s="516"/>
      <c r="T65" s="25"/>
      <c r="U65" s="25"/>
      <c r="V65" s="25"/>
      <c r="W65" s="25"/>
      <c r="X65" s="25"/>
    </row>
    <row r="66" spans="1:24">
      <c r="A66" s="25"/>
      <c r="B66" s="25"/>
      <c r="C66" s="25"/>
      <c r="D66" s="25"/>
      <c r="E66" s="1088"/>
      <c r="F66" s="1088"/>
      <c r="G66" s="1088"/>
      <c r="H66" s="1088"/>
      <c r="I66" s="25"/>
      <c r="J66" s="25"/>
      <c r="K66" s="25"/>
      <c r="L66" s="25"/>
      <c r="M66" s="25"/>
      <c r="N66" s="25"/>
      <c r="O66" s="25"/>
      <c r="P66" s="25"/>
      <c r="Q66" s="516"/>
      <c r="R66" s="516"/>
      <c r="S66" s="516"/>
      <c r="T66" s="25"/>
      <c r="U66" s="25"/>
      <c r="V66" s="25"/>
      <c r="W66" s="25"/>
      <c r="X66" s="25"/>
    </row>
    <row r="67" spans="1:24">
      <c r="A67" s="25"/>
      <c r="B67" s="25"/>
      <c r="C67" s="25"/>
      <c r="D67" s="25"/>
      <c r="E67" s="1088"/>
      <c r="F67" s="1088"/>
      <c r="G67" s="1088"/>
      <c r="H67" s="1088"/>
      <c r="I67" s="25"/>
      <c r="J67" s="25"/>
      <c r="K67" s="25"/>
      <c r="L67" s="25"/>
      <c r="M67" s="25"/>
      <c r="N67" s="25"/>
      <c r="O67" s="25"/>
      <c r="P67" s="25"/>
      <c r="Q67" s="516"/>
      <c r="R67" s="516"/>
      <c r="S67" s="516"/>
      <c r="T67" s="25"/>
      <c r="U67" s="25"/>
      <c r="V67" s="25"/>
      <c r="W67" s="25"/>
      <c r="X67" s="25"/>
    </row>
    <row r="68" spans="1:24">
      <c r="A68" s="25"/>
      <c r="B68" s="25"/>
      <c r="C68" s="25"/>
      <c r="D68" s="25"/>
      <c r="E68" s="1088"/>
      <c r="F68" s="1088"/>
      <c r="G68" s="1088"/>
      <c r="H68" s="1088"/>
      <c r="I68" s="25"/>
      <c r="J68" s="25"/>
      <c r="K68" s="25"/>
      <c r="L68" s="25"/>
      <c r="M68" s="25"/>
      <c r="N68" s="25"/>
      <c r="O68" s="25"/>
      <c r="P68" s="25"/>
      <c r="Q68" s="516"/>
      <c r="R68" s="516"/>
      <c r="S68" s="516"/>
      <c r="T68" s="25"/>
      <c r="U68" s="25"/>
      <c r="V68" s="25"/>
      <c r="W68" s="25"/>
      <c r="X68" s="25"/>
    </row>
    <row r="69" spans="1:24">
      <c r="A69" s="25"/>
      <c r="B69" s="25"/>
      <c r="C69" s="25"/>
      <c r="D69" s="25"/>
      <c r="E69" s="1088"/>
      <c r="F69" s="1088"/>
      <c r="G69" s="1088"/>
      <c r="H69" s="1088"/>
      <c r="I69" s="25"/>
      <c r="J69" s="25"/>
      <c r="K69" s="25"/>
      <c r="L69" s="25"/>
      <c r="M69" s="25"/>
      <c r="N69" s="25"/>
      <c r="O69" s="25"/>
      <c r="P69" s="25"/>
      <c r="Q69" s="516"/>
      <c r="R69" s="516"/>
      <c r="S69" s="516"/>
      <c r="T69" s="25"/>
      <c r="U69" s="25"/>
      <c r="V69" s="25"/>
      <c r="W69" s="25"/>
      <c r="X69" s="25"/>
    </row>
    <row r="70" spans="1:24">
      <c r="A70" s="25"/>
      <c r="B70" s="25"/>
      <c r="C70" s="25"/>
      <c r="D70" s="25"/>
      <c r="E70" s="1088"/>
      <c r="F70" s="1088"/>
      <c r="G70" s="1088"/>
      <c r="H70" s="1088"/>
      <c r="I70" s="25"/>
      <c r="J70" s="25"/>
      <c r="K70" s="25"/>
      <c r="L70" s="25"/>
      <c r="M70" s="25"/>
      <c r="N70" s="25"/>
      <c r="O70" s="25"/>
      <c r="P70" s="25"/>
      <c r="Q70" s="516"/>
      <c r="R70" s="516"/>
      <c r="S70" s="516"/>
      <c r="T70" s="25"/>
      <c r="U70" s="25"/>
      <c r="V70" s="25"/>
      <c r="W70" s="25"/>
      <c r="X70" s="25"/>
    </row>
    <row r="71" spans="1:24">
      <c r="A71" s="25"/>
      <c r="B71" s="25"/>
      <c r="C71" s="25"/>
      <c r="D71" s="25"/>
      <c r="E71" s="1088"/>
      <c r="F71" s="1088"/>
      <c r="G71" s="1088"/>
      <c r="H71" s="1088"/>
      <c r="I71" s="25"/>
      <c r="J71" s="25"/>
      <c r="K71" s="25"/>
      <c r="L71" s="25"/>
      <c r="M71" s="25"/>
      <c r="N71" s="25"/>
      <c r="O71" s="25"/>
      <c r="P71" s="25"/>
      <c r="Q71" s="516"/>
      <c r="R71" s="516"/>
      <c r="S71" s="516"/>
      <c r="T71" s="25"/>
      <c r="U71" s="25"/>
      <c r="V71" s="25"/>
      <c r="W71" s="25"/>
      <c r="X71" s="25"/>
    </row>
    <row r="72" spans="1:24">
      <c r="A72" s="25"/>
      <c r="B72" s="25"/>
      <c r="C72" s="25"/>
      <c r="D72" s="25"/>
      <c r="E72" s="1088"/>
      <c r="F72" s="1088"/>
      <c r="G72" s="1088"/>
      <c r="H72" s="1088"/>
      <c r="I72" s="25"/>
      <c r="J72" s="25"/>
      <c r="K72" s="25"/>
      <c r="L72" s="25"/>
      <c r="M72" s="25"/>
      <c r="N72" s="25"/>
      <c r="O72" s="25"/>
      <c r="P72" s="25"/>
      <c r="Q72" s="516"/>
      <c r="R72" s="516"/>
      <c r="S72" s="516"/>
      <c r="T72" s="25"/>
      <c r="U72" s="25"/>
      <c r="V72" s="25"/>
      <c r="W72" s="25"/>
      <c r="X72" s="25"/>
    </row>
    <row r="73" spans="1:24">
      <c r="A73" s="25"/>
      <c r="B73" s="25"/>
      <c r="C73" s="25"/>
      <c r="D73" s="25"/>
      <c r="E73" s="1088"/>
      <c r="F73" s="1088"/>
      <c r="G73" s="1088"/>
      <c r="H73" s="1088"/>
      <c r="I73" s="25"/>
      <c r="J73" s="25"/>
      <c r="K73" s="25"/>
      <c r="L73" s="25"/>
      <c r="M73" s="25"/>
      <c r="N73" s="25"/>
      <c r="O73" s="25"/>
      <c r="P73" s="25"/>
      <c r="Q73" s="516"/>
      <c r="R73" s="516"/>
      <c r="S73" s="516"/>
      <c r="T73" s="25"/>
      <c r="U73" s="25"/>
      <c r="V73" s="25"/>
      <c r="W73" s="25"/>
      <c r="X73" s="25"/>
    </row>
    <row r="74" spans="1:24">
      <c r="A74" s="25"/>
      <c r="B74" s="25"/>
      <c r="C74" s="25"/>
      <c r="D74" s="25"/>
      <c r="E74" s="1088"/>
      <c r="F74" s="1088"/>
      <c r="G74" s="1088"/>
      <c r="H74" s="1088"/>
      <c r="I74" s="25"/>
      <c r="J74" s="25"/>
      <c r="K74" s="25"/>
      <c r="L74" s="25"/>
      <c r="M74" s="25"/>
      <c r="N74" s="25"/>
      <c r="O74" s="25"/>
      <c r="P74" s="25"/>
      <c r="Q74" s="516"/>
      <c r="R74" s="516"/>
      <c r="S74" s="516"/>
      <c r="T74" s="25"/>
      <c r="U74" s="25"/>
      <c r="V74" s="25"/>
      <c r="W74" s="25"/>
      <c r="X74" s="25"/>
    </row>
    <row r="75" spans="1:24">
      <c r="A75" s="25"/>
      <c r="B75" s="25"/>
      <c r="C75" s="25"/>
      <c r="D75" s="25"/>
      <c r="E75" s="1088"/>
      <c r="F75" s="1088"/>
      <c r="G75" s="1088"/>
      <c r="H75" s="1088"/>
      <c r="I75" s="25"/>
      <c r="J75" s="25"/>
      <c r="K75" s="25"/>
      <c r="L75" s="25"/>
      <c r="M75" s="25"/>
      <c r="N75" s="25"/>
      <c r="O75" s="25"/>
      <c r="P75" s="25"/>
      <c r="Q75" s="516"/>
      <c r="R75" s="516"/>
      <c r="S75" s="516"/>
      <c r="T75" s="25"/>
      <c r="U75" s="25"/>
      <c r="V75" s="25"/>
      <c r="W75" s="25"/>
      <c r="X75" s="25"/>
    </row>
    <row r="76" spans="1:24">
      <c r="A76" s="25"/>
      <c r="B76" s="25"/>
      <c r="C76" s="25"/>
      <c r="D76" s="25"/>
      <c r="E76" s="1088"/>
      <c r="F76" s="1088"/>
      <c r="G76" s="1088"/>
      <c r="H76" s="1088"/>
      <c r="I76" s="25"/>
      <c r="J76" s="25"/>
      <c r="K76" s="25"/>
      <c r="L76" s="25"/>
      <c r="M76" s="25"/>
      <c r="N76" s="25"/>
      <c r="O76" s="25"/>
      <c r="P76" s="25"/>
      <c r="Q76" s="516"/>
      <c r="R76" s="516"/>
      <c r="S76" s="516"/>
      <c r="T76" s="25"/>
      <c r="U76" s="25"/>
      <c r="V76" s="25"/>
      <c r="W76" s="25"/>
      <c r="X76" s="25"/>
    </row>
    <row r="77" spans="1:24">
      <c r="A77" s="25"/>
      <c r="B77" s="25"/>
      <c r="C77" s="25"/>
      <c r="D77" s="25"/>
      <c r="E77" s="1088"/>
      <c r="F77" s="1088"/>
      <c r="G77" s="1088"/>
      <c r="H77" s="1088"/>
      <c r="I77" s="25"/>
      <c r="J77" s="25"/>
      <c r="K77" s="25"/>
      <c r="L77" s="25"/>
      <c r="M77" s="25"/>
      <c r="N77" s="25"/>
      <c r="O77" s="25"/>
      <c r="P77" s="25"/>
      <c r="Q77" s="516"/>
      <c r="R77" s="516"/>
      <c r="S77" s="516"/>
      <c r="T77" s="25"/>
      <c r="U77" s="25"/>
      <c r="V77" s="25"/>
      <c r="W77" s="25"/>
      <c r="X77" s="25"/>
    </row>
    <row r="78" spans="1:24">
      <c r="A78" s="25"/>
      <c r="B78" s="25"/>
      <c r="C78" s="25"/>
      <c r="D78" s="25"/>
      <c r="E78" s="1088"/>
      <c r="F78" s="1088"/>
      <c r="G78" s="1088"/>
      <c r="H78" s="1088"/>
      <c r="I78" s="25"/>
      <c r="J78" s="25"/>
      <c r="K78" s="25"/>
      <c r="L78" s="25"/>
      <c r="M78" s="25"/>
      <c r="N78" s="25"/>
      <c r="O78" s="25"/>
      <c r="P78" s="25"/>
      <c r="Q78" s="516"/>
      <c r="R78" s="516"/>
      <c r="S78" s="516"/>
      <c r="T78" s="25"/>
      <c r="U78" s="25"/>
      <c r="V78" s="25"/>
      <c r="W78" s="25"/>
      <c r="X78" s="25"/>
    </row>
    <row r="79" spans="1:24">
      <c r="A79" s="25"/>
      <c r="B79" s="25"/>
      <c r="C79" s="25"/>
      <c r="D79" s="25"/>
      <c r="E79" s="1088"/>
      <c r="F79" s="1088"/>
      <c r="G79" s="1088"/>
      <c r="H79" s="1088"/>
      <c r="I79" s="25"/>
      <c r="J79" s="25"/>
      <c r="K79" s="25"/>
      <c r="L79" s="25"/>
      <c r="M79" s="25"/>
      <c r="N79" s="25"/>
      <c r="O79" s="25"/>
      <c r="P79" s="25"/>
      <c r="Q79" s="516"/>
      <c r="R79" s="516"/>
      <c r="S79" s="516"/>
      <c r="T79" s="25"/>
      <c r="U79" s="25"/>
      <c r="V79" s="25"/>
      <c r="W79" s="25"/>
      <c r="X79" s="25"/>
    </row>
    <row r="80" spans="1:24">
      <c r="A80" s="25"/>
      <c r="B80" s="25"/>
      <c r="C80" s="25"/>
      <c r="D80" s="25"/>
      <c r="E80" s="1088"/>
      <c r="F80" s="1088"/>
      <c r="G80" s="1088"/>
      <c r="H80" s="1088"/>
      <c r="I80" s="25"/>
      <c r="J80" s="25"/>
      <c r="K80" s="25"/>
      <c r="L80" s="25"/>
      <c r="M80" s="25"/>
      <c r="N80" s="25"/>
      <c r="O80" s="25"/>
      <c r="P80" s="25"/>
      <c r="Q80" s="516"/>
      <c r="R80" s="516"/>
      <c r="S80" s="516"/>
      <c r="T80" s="25"/>
      <c r="U80" s="25"/>
      <c r="V80" s="25"/>
      <c r="W80" s="25"/>
      <c r="X80" s="25"/>
    </row>
    <row r="81" spans="1:24">
      <c r="A81" s="25"/>
      <c r="B81" s="25"/>
      <c r="C81" s="25"/>
      <c r="D81" s="25"/>
      <c r="E81" s="1088"/>
      <c r="F81" s="1088"/>
      <c r="G81" s="1088"/>
      <c r="H81" s="1088"/>
      <c r="I81" s="25"/>
      <c r="J81" s="25"/>
      <c r="K81" s="25"/>
      <c r="L81" s="25"/>
      <c r="M81" s="25"/>
      <c r="N81" s="25"/>
      <c r="O81" s="25"/>
      <c r="P81" s="25"/>
      <c r="Q81" s="516"/>
      <c r="R81" s="516"/>
      <c r="S81" s="516"/>
      <c r="T81" s="25"/>
      <c r="U81" s="25"/>
      <c r="V81" s="25"/>
      <c r="W81" s="25"/>
      <c r="X81" s="25"/>
    </row>
    <row r="82" spans="1:24">
      <c r="A82" s="25"/>
      <c r="B82" s="25"/>
      <c r="C82" s="25"/>
      <c r="D82" s="25"/>
      <c r="E82" s="1088"/>
      <c r="F82" s="1088"/>
      <c r="G82" s="1088"/>
      <c r="H82" s="1088"/>
      <c r="I82" s="25"/>
      <c r="J82" s="25"/>
      <c r="K82" s="25"/>
      <c r="L82" s="25"/>
      <c r="M82" s="25"/>
      <c r="N82" s="25"/>
      <c r="O82" s="25"/>
      <c r="P82" s="25"/>
      <c r="Q82" s="516"/>
      <c r="R82" s="516"/>
      <c r="S82" s="516"/>
      <c r="T82" s="25"/>
      <c r="U82" s="25"/>
      <c r="V82" s="25"/>
      <c r="W82" s="25"/>
      <c r="X82" s="25"/>
    </row>
    <row r="83" spans="1:24">
      <c r="A83" s="25"/>
      <c r="B83" s="25"/>
      <c r="C83" s="25"/>
      <c r="D83" s="25"/>
      <c r="E83" s="1088"/>
      <c r="F83" s="1088"/>
      <c r="G83" s="1088"/>
      <c r="H83" s="1088"/>
      <c r="I83" s="25"/>
      <c r="J83" s="25"/>
      <c r="K83" s="25"/>
      <c r="L83" s="25"/>
      <c r="M83" s="25"/>
      <c r="N83" s="25"/>
      <c r="O83" s="25"/>
      <c r="P83" s="25"/>
      <c r="Q83" s="516"/>
      <c r="R83" s="516"/>
      <c r="S83" s="516"/>
      <c r="T83" s="25"/>
      <c r="U83" s="25"/>
      <c r="V83" s="25"/>
      <c r="W83" s="25"/>
      <c r="X83" s="25"/>
    </row>
    <row r="84" spans="1:24">
      <c r="A84" s="25"/>
      <c r="B84" s="25"/>
      <c r="C84" s="25"/>
      <c r="D84" s="25"/>
      <c r="E84" s="1088"/>
      <c r="F84" s="1088"/>
      <c r="G84" s="1088"/>
      <c r="H84" s="1088"/>
      <c r="I84" s="25"/>
      <c r="J84" s="25"/>
      <c r="K84" s="25"/>
      <c r="L84" s="25"/>
      <c r="M84" s="25"/>
      <c r="N84" s="25"/>
      <c r="O84" s="25"/>
      <c r="P84" s="25"/>
      <c r="Q84" s="516"/>
      <c r="R84" s="516"/>
      <c r="S84" s="516"/>
      <c r="T84" s="25"/>
      <c r="U84" s="25"/>
      <c r="V84" s="25"/>
      <c r="W84" s="25"/>
      <c r="X84" s="25"/>
    </row>
    <row r="85" spans="1:24">
      <c r="A85" s="25"/>
      <c r="B85" s="25"/>
      <c r="C85" s="25"/>
      <c r="D85" s="25"/>
      <c r="E85" s="1088"/>
      <c r="F85" s="1088"/>
      <c r="G85" s="1088"/>
      <c r="H85" s="1088"/>
      <c r="I85" s="25"/>
      <c r="J85" s="25"/>
      <c r="K85" s="25"/>
      <c r="L85" s="25"/>
      <c r="M85" s="25"/>
      <c r="N85" s="25"/>
      <c r="O85" s="25"/>
      <c r="P85" s="25"/>
      <c r="Q85" s="516"/>
      <c r="R85" s="516"/>
      <c r="S85" s="516"/>
      <c r="T85" s="25"/>
      <c r="U85" s="25"/>
      <c r="V85" s="25"/>
      <c r="W85" s="25"/>
      <c r="X85" s="25"/>
    </row>
    <row r="86" spans="1:24">
      <c r="A86" s="25"/>
      <c r="B86" s="25"/>
      <c r="C86" s="25"/>
      <c r="D86" s="25"/>
      <c r="E86" s="1088"/>
      <c r="F86" s="1088"/>
      <c r="G86" s="1088"/>
      <c r="H86" s="1088"/>
      <c r="I86" s="25"/>
      <c r="J86" s="25"/>
      <c r="K86" s="25"/>
      <c r="L86" s="25"/>
      <c r="M86" s="25"/>
      <c r="N86" s="25"/>
      <c r="O86" s="25"/>
      <c r="P86" s="25"/>
      <c r="Q86" s="516"/>
      <c r="R86" s="516"/>
      <c r="S86" s="516"/>
      <c r="T86" s="25"/>
      <c r="U86" s="25"/>
      <c r="V86" s="25"/>
      <c r="W86" s="25"/>
      <c r="X86" s="25"/>
    </row>
    <row r="87" spans="1:24">
      <c r="A87" s="25"/>
      <c r="B87" s="25"/>
      <c r="C87" s="25"/>
      <c r="D87" s="25"/>
      <c r="E87" s="1088"/>
      <c r="F87" s="1088"/>
      <c r="G87" s="1088"/>
      <c r="H87" s="1088"/>
      <c r="I87" s="25"/>
      <c r="J87" s="25"/>
      <c r="K87" s="25"/>
      <c r="L87" s="25"/>
      <c r="M87" s="25"/>
      <c r="N87" s="25"/>
      <c r="O87" s="25"/>
      <c r="P87" s="25"/>
      <c r="Q87" s="516"/>
      <c r="R87" s="516"/>
      <c r="S87" s="516"/>
      <c r="T87" s="25"/>
      <c r="U87" s="25"/>
      <c r="V87" s="25"/>
      <c r="W87" s="25"/>
      <c r="X87" s="25"/>
    </row>
    <row r="88" spans="1:24">
      <c r="A88" s="25"/>
      <c r="B88" s="25"/>
      <c r="C88" s="25"/>
      <c r="D88" s="25"/>
      <c r="E88" s="1088"/>
      <c r="F88" s="1088"/>
      <c r="G88" s="1088"/>
      <c r="H88" s="1088"/>
      <c r="I88" s="25"/>
      <c r="J88" s="25"/>
      <c r="K88" s="25"/>
      <c r="L88" s="25"/>
      <c r="M88" s="25"/>
      <c r="N88" s="25"/>
      <c r="O88" s="25"/>
      <c r="P88" s="25"/>
      <c r="Q88" s="516"/>
      <c r="R88" s="516"/>
      <c r="S88" s="516"/>
      <c r="T88" s="25"/>
      <c r="U88" s="25"/>
      <c r="V88" s="25"/>
      <c r="W88" s="25"/>
      <c r="X88" s="25"/>
    </row>
    <row r="89" spans="1:24">
      <c r="A89" s="25"/>
      <c r="B89" s="25"/>
      <c r="C89" s="25"/>
      <c r="D89" s="25"/>
      <c r="E89" s="1088"/>
      <c r="F89" s="1088"/>
      <c r="G89" s="1088"/>
      <c r="H89" s="1088"/>
      <c r="I89" s="25"/>
      <c r="J89" s="25"/>
      <c r="K89" s="25"/>
      <c r="L89" s="25"/>
      <c r="M89" s="25"/>
      <c r="N89" s="25"/>
      <c r="O89" s="25"/>
      <c r="P89" s="25"/>
      <c r="Q89" s="516"/>
      <c r="R89" s="516"/>
      <c r="S89" s="516"/>
      <c r="T89" s="25"/>
      <c r="U89" s="25"/>
      <c r="V89" s="25"/>
      <c r="W89" s="25"/>
      <c r="X89" s="25"/>
    </row>
    <row r="90" spans="1:24">
      <c r="A90" s="25"/>
      <c r="B90" s="25"/>
      <c r="C90" s="25"/>
      <c r="D90" s="25"/>
      <c r="E90" s="1088"/>
      <c r="F90" s="1088"/>
      <c r="G90" s="1088"/>
      <c r="H90" s="1088"/>
      <c r="I90" s="25"/>
      <c r="J90" s="25"/>
      <c r="K90" s="25"/>
      <c r="L90" s="25"/>
      <c r="M90" s="25"/>
      <c r="N90" s="25"/>
      <c r="O90" s="25"/>
      <c r="P90" s="25"/>
      <c r="Q90" s="516"/>
      <c r="R90" s="516"/>
      <c r="S90" s="516"/>
      <c r="T90" s="25"/>
      <c r="U90" s="25"/>
      <c r="V90" s="25"/>
      <c r="W90" s="25"/>
      <c r="X90" s="25"/>
    </row>
    <row r="91" spans="1:24">
      <c r="A91" s="25"/>
      <c r="B91" s="25"/>
      <c r="C91" s="25"/>
      <c r="D91" s="25"/>
      <c r="E91" s="1088"/>
      <c r="F91" s="1088"/>
      <c r="G91" s="1088"/>
      <c r="H91" s="1088"/>
      <c r="I91" s="25"/>
      <c r="J91" s="25"/>
      <c r="K91" s="25"/>
      <c r="L91" s="25"/>
      <c r="M91" s="25"/>
      <c r="N91" s="25"/>
      <c r="O91" s="25"/>
      <c r="P91" s="25"/>
      <c r="Q91" s="516"/>
      <c r="R91" s="516"/>
      <c r="S91" s="516"/>
      <c r="T91" s="25"/>
      <c r="U91" s="25"/>
      <c r="V91" s="25"/>
      <c r="W91" s="25"/>
      <c r="X91" s="25"/>
    </row>
    <row r="92" spans="1:24">
      <c r="A92" s="25"/>
      <c r="B92" s="25"/>
      <c r="C92" s="25"/>
      <c r="D92" s="25"/>
      <c r="E92" s="1088"/>
      <c r="F92" s="1088"/>
      <c r="G92" s="1088"/>
      <c r="H92" s="1088"/>
      <c r="I92" s="25"/>
      <c r="J92" s="25"/>
      <c r="K92" s="25"/>
      <c r="L92" s="25"/>
      <c r="M92" s="25"/>
      <c r="N92" s="25"/>
      <c r="O92" s="25"/>
      <c r="P92" s="25"/>
      <c r="Q92" s="516"/>
      <c r="R92" s="516"/>
      <c r="S92" s="516"/>
      <c r="T92" s="25"/>
      <c r="U92" s="25"/>
      <c r="V92" s="25"/>
      <c r="W92" s="25"/>
      <c r="X92" s="25"/>
    </row>
    <row r="93" spans="1:24">
      <c r="A93" s="25"/>
      <c r="B93" s="25"/>
      <c r="C93" s="25"/>
      <c r="D93" s="25"/>
      <c r="E93" s="1088"/>
      <c r="F93" s="1088"/>
      <c r="G93" s="1088"/>
      <c r="H93" s="1088"/>
      <c r="I93" s="25"/>
      <c r="J93" s="25"/>
      <c r="K93" s="25"/>
      <c r="L93" s="25"/>
      <c r="M93" s="25"/>
      <c r="N93" s="25"/>
      <c r="O93" s="25"/>
      <c r="P93" s="25"/>
      <c r="Q93" s="516"/>
      <c r="R93" s="516"/>
      <c r="S93" s="516"/>
      <c r="T93" s="25"/>
      <c r="U93" s="25"/>
      <c r="V93" s="25"/>
      <c r="W93" s="25"/>
      <c r="X93" s="25"/>
    </row>
    <row r="94" spans="1:24">
      <c r="A94" s="25"/>
      <c r="B94" s="25"/>
      <c r="C94" s="25"/>
      <c r="D94" s="25"/>
      <c r="E94" s="1088"/>
      <c r="F94" s="1088"/>
      <c r="G94" s="1088"/>
      <c r="H94" s="1088"/>
      <c r="I94" s="25"/>
      <c r="J94" s="25"/>
      <c r="K94" s="25"/>
      <c r="L94" s="25"/>
      <c r="M94" s="25"/>
      <c r="N94" s="25"/>
      <c r="O94" s="25"/>
      <c r="P94" s="25"/>
      <c r="Q94" s="516"/>
      <c r="R94" s="516"/>
      <c r="S94" s="516"/>
      <c r="T94" s="25"/>
      <c r="U94" s="25"/>
      <c r="V94" s="25"/>
      <c r="W94" s="25"/>
      <c r="X94" s="25"/>
    </row>
    <row r="95" spans="1:24">
      <c r="A95" s="25"/>
      <c r="B95" s="25"/>
      <c r="C95" s="25"/>
      <c r="D95" s="25"/>
      <c r="E95" s="1088"/>
      <c r="F95" s="1088"/>
      <c r="G95" s="1088"/>
      <c r="H95" s="1088"/>
      <c r="I95" s="25"/>
      <c r="J95" s="25"/>
      <c r="K95" s="25"/>
      <c r="L95" s="25"/>
      <c r="M95" s="25"/>
      <c r="N95" s="25"/>
      <c r="O95" s="25"/>
      <c r="P95" s="25"/>
      <c r="Q95" s="516"/>
      <c r="R95" s="516"/>
      <c r="S95" s="516"/>
      <c r="T95" s="25"/>
      <c r="U95" s="25"/>
      <c r="V95" s="25"/>
      <c r="W95" s="25"/>
      <c r="X95" s="25"/>
    </row>
    <row r="96" spans="1:24">
      <c r="A96" s="25"/>
      <c r="B96" s="25"/>
      <c r="C96" s="25"/>
      <c r="D96" s="25"/>
      <c r="E96" s="1088"/>
      <c r="F96" s="1088"/>
      <c r="G96" s="1088"/>
      <c r="H96" s="1088"/>
      <c r="I96" s="25"/>
      <c r="J96" s="25"/>
      <c r="K96" s="25"/>
      <c r="L96" s="25"/>
      <c r="M96" s="25"/>
      <c r="N96" s="25"/>
      <c r="O96" s="25"/>
      <c r="P96" s="25"/>
      <c r="Q96" s="516"/>
      <c r="R96" s="516"/>
      <c r="S96" s="516"/>
      <c r="T96" s="25"/>
      <c r="U96" s="25"/>
      <c r="V96" s="25"/>
      <c r="W96" s="25"/>
      <c r="X96" s="25"/>
    </row>
    <row r="97" spans="1:24">
      <c r="A97" s="25"/>
      <c r="B97" s="25"/>
      <c r="C97" s="25"/>
      <c r="D97" s="25"/>
      <c r="E97" s="1088"/>
      <c r="F97" s="1088"/>
      <c r="G97" s="1088"/>
      <c r="H97" s="1088"/>
      <c r="I97" s="25"/>
      <c r="J97" s="25"/>
      <c r="K97" s="25"/>
      <c r="L97" s="25"/>
      <c r="M97" s="25"/>
      <c r="N97" s="25"/>
      <c r="O97" s="25"/>
      <c r="P97" s="25"/>
      <c r="Q97" s="516"/>
      <c r="R97" s="516"/>
      <c r="S97" s="516"/>
      <c r="T97" s="25"/>
      <c r="U97" s="25"/>
      <c r="V97" s="25"/>
      <c r="W97" s="25"/>
      <c r="X97" s="25"/>
    </row>
    <row r="98" spans="1:24">
      <c r="A98" s="25"/>
      <c r="B98" s="25"/>
      <c r="C98" s="25"/>
      <c r="D98" s="25"/>
      <c r="E98" s="1088"/>
      <c r="F98" s="1088"/>
      <c r="G98" s="1088"/>
      <c r="H98" s="1088"/>
      <c r="I98" s="25"/>
      <c r="J98" s="25"/>
      <c r="K98" s="25"/>
      <c r="L98" s="25"/>
      <c r="M98" s="25"/>
      <c r="N98" s="25"/>
      <c r="O98" s="25"/>
      <c r="P98" s="25"/>
      <c r="Q98" s="516"/>
      <c r="R98" s="516"/>
      <c r="S98" s="516"/>
      <c r="T98" s="25"/>
      <c r="U98" s="25"/>
      <c r="V98" s="25"/>
      <c r="W98" s="25"/>
      <c r="X98" s="25"/>
    </row>
    <row r="99" spans="1:24">
      <c r="A99" s="25"/>
      <c r="B99" s="25"/>
      <c r="C99" s="25"/>
      <c r="D99" s="25"/>
      <c r="E99" s="1088"/>
      <c r="F99" s="1088"/>
      <c r="G99" s="1088"/>
      <c r="H99" s="1088"/>
      <c r="I99" s="25"/>
      <c r="J99" s="25"/>
      <c r="K99" s="25"/>
      <c r="L99" s="25"/>
      <c r="M99" s="25"/>
      <c r="N99" s="25"/>
      <c r="O99" s="25"/>
      <c r="P99" s="25"/>
      <c r="Q99" s="516"/>
      <c r="R99" s="516"/>
      <c r="S99" s="516"/>
      <c r="T99" s="25"/>
      <c r="U99" s="25"/>
      <c r="V99" s="25"/>
      <c r="W99" s="25"/>
      <c r="X99" s="25"/>
    </row>
    <row r="100" spans="1:24">
      <c r="A100" s="25"/>
      <c r="B100" s="25"/>
      <c r="C100" s="25"/>
      <c r="D100" s="25"/>
      <c r="E100" s="1088"/>
      <c r="F100" s="1088"/>
      <c r="G100" s="1088"/>
      <c r="H100" s="1088"/>
      <c r="I100" s="25"/>
      <c r="J100" s="25"/>
      <c r="K100" s="25"/>
      <c r="L100" s="25"/>
      <c r="M100" s="25"/>
      <c r="N100" s="25"/>
      <c r="O100" s="25"/>
      <c r="P100" s="25"/>
      <c r="Q100" s="516"/>
      <c r="R100" s="516"/>
      <c r="S100" s="516"/>
      <c r="T100" s="25"/>
      <c r="U100" s="25"/>
      <c r="V100" s="25"/>
      <c r="W100" s="25"/>
      <c r="X100" s="25"/>
    </row>
    <row r="101" spans="1:24">
      <c r="A101" s="25"/>
      <c r="B101" s="25"/>
      <c r="C101" s="25"/>
      <c r="D101" s="25"/>
      <c r="E101" s="1088"/>
      <c r="F101" s="1088"/>
      <c r="G101" s="1088"/>
      <c r="H101" s="1088"/>
      <c r="I101" s="25"/>
      <c r="J101" s="25"/>
      <c r="K101" s="25"/>
      <c r="L101" s="25"/>
      <c r="M101" s="25"/>
      <c r="N101" s="25"/>
      <c r="O101" s="25"/>
      <c r="P101" s="25"/>
      <c r="Q101" s="516"/>
      <c r="R101" s="516"/>
      <c r="S101" s="516"/>
      <c r="T101" s="25"/>
      <c r="U101" s="25"/>
      <c r="V101" s="25"/>
      <c r="W101" s="25"/>
      <c r="X101" s="25"/>
    </row>
    <row r="102" spans="1:24">
      <c r="A102" s="25"/>
      <c r="B102" s="25"/>
      <c r="C102" s="25"/>
      <c r="D102" s="25"/>
      <c r="E102" s="1088"/>
      <c r="F102" s="1088"/>
      <c r="G102" s="1088"/>
      <c r="H102" s="1088"/>
      <c r="I102" s="25"/>
      <c r="J102" s="25"/>
      <c r="K102" s="25"/>
      <c r="L102" s="25"/>
      <c r="M102" s="25"/>
      <c r="N102" s="25"/>
      <c r="O102" s="25"/>
      <c r="P102" s="25"/>
      <c r="Q102" s="516"/>
      <c r="R102" s="516"/>
      <c r="S102" s="516"/>
      <c r="T102" s="25"/>
      <c r="U102" s="25"/>
      <c r="V102" s="25"/>
      <c r="W102" s="25"/>
      <c r="X102" s="25"/>
    </row>
    <row r="103" spans="1:24">
      <c r="A103" s="25"/>
      <c r="B103" s="25"/>
      <c r="C103" s="25"/>
      <c r="D103" s="25"/>
      <c r="E103" s="1088"/>
      <c r="F103" s="1088"/>
      <c r="G103" s="1088"/>
      <c r="H103" s="1088"/>
      <c r="I103" s="25"/>
      <c r="J103" s="25"/>
      <c r="K103" s="25"/>
      <c r="L103" s="25"/>
      <c r="M103" s="25"/>
      <c r="N103" s="25"/>
      <c r="O103" s="25"/>
      <c r="P103" s="25"/>
      <c r="Q103" s="516"/>
      <c r="R103" s="516"/>
      <c r="S103" s="516"/>
      <c r="T103" s="25"/>
      <c r="U103" s="25"/>
      <c r="V103" s="25"/>
      <c r="W103" s="25"/>
      <c r="X103" s="25"/>
    </row>
    <row r="104" spans="1:24">
      <c r="A104" s="25"/>
      <c r="B104" s="25"/>
      <c r="C104" s="25"/>
      <c r="D104" s="25"/>
      <c r="E104" s="1088"/>
      <c r="F104" s="1088"/>
      <c r="G104" s="1088"/>
      <c r="H104" s="1088"/>
      <c r="I104" s="25"/>
      <c r="J104" s="25"/>
      <c r="K104" s="25"/>
      <c r="L104" s="25"/>
      <c r="M104" s="25"/>
      <c r="N104" s="25"/>
      <c r="O104" s="25"/>
      <c r="P104" s="25"/>
      <c r="Q104" s="516"/>
      <c r="R104" s="516"/>
      <c r="S104" s="516"/>
      <c r="T104" s="25"/>
      <c r="U104" s="25"/>
      <c r="V104" s="25"/>
      <c r="W104" s="25"/>
      <c r="X104" s="25"/>
    </row>
    <row r="105" spans="1:24">
      <c r="A105" s="25"/>
      <c r="B105" s="25"/>
      <c r="C105" s="25"/>
      <c r="D105" s="25"/>
      <c r="E105" s="1088"/>
      <c r="F105" s="1088"/>
      <c r="G105" s="1088"/>
      <c r="H105" s="1088"/>
      <c r="I105" s="25"/>
      <c r="J105" s="25"/>
      <c r="K105" s="25"/>
      <c r="L105" s="25"/>
      <c r="M105" s="25"/>
      <c r="N105" s="25"/>
      <c r="O105" s="25"/>
      <c r="P105" s="25"/>
      <c r="Q105" s="516"/>
      <c r="R105" s="516"/>
      <c r="S105" s="516"/>
      <c r="T105" s="25"/>
      <c r="U105" s="25"/>
      <c r="V105" s="25"/>
      <c r="W105" s="25"/>
      <c r="X105" s="25"/>
    </row>
    <row r="106" spans="1:24">
      <c r="A106" s="25"/>
      <c r="B106" s="25"/>
      <c r="C106" s="25"/>
      <c r="D106" s="25"/>
      <c r="E106" s="1088"/>
      <c r="F106" s="1088"/>
      <c r="G106" s="1088"/>
      <c r="H106" s="1088"/>
      <c r="I106" s="25"/>
      <c r="J106" s="25"/>
      <c r="K106" s="25"/>
      <c r="L106" s="25"/>
      <c r="M106" s="25"/>
      <c r="N106" s="25"/>
      <c r="O106" s="25"/>
      <c r="P106" s="25"/>
      <c r="Q106" s="516"/>
      <c r="R106" s="516"/>
      <c r="S106" s="516"/>
      <c r="T106" s="25"/>
      <c r="U106" s="25"/>
      <c r="V106" s="25"/>
      <c r="W106" s="25"/>
      <c r="X106" s="25"/>
    </row>
    <row r="107" spans="1:24">
      <c r="A107" s="25"/>
      <c r="B107" s="25"/>
      <c r="C107" s="25"/>
      <c r="D107" s="25"/>
      <c r="E107" s="1088"/>
      <c r="F107" s="1088"/>
      <c r="G107" s="1088"/>
      <c r="H107" s="1088"/>
      <c r="I107" s="25"/>
      <c r="J107" s="25"/>
      <c r="K107" s="25"/>
      <c r="L107" s="25"/>
      <c r="M107" s="25"/>
      <c r="N107" s="25"/>
      <c r="O107" s="25"/>
      <c r="P107" s="25"/>
      <c r="Q107" s="516"/>
      <c r="R107" s="516"/>
      <c r="S107" s="516"/>
      <c r="T107" s="25"/>
      <c r="U107" s="25"/>
      <c r="V107" s="25"/>
      <c r="W107" s="25"/>
      <c r="X107" s="25"/>
    </row>
    <row r="108" spans="1:24">
      <c r="A108" s="25"/>
      <c r="B108" s="25"/>
      <c r="C108" s="25"/>
      <c r="D108" s="25"/>
      <c r="E108" s="1088"/>
      <c r="F108" s="1088"/>
      <c r="G108" s="1088"/>
      <c r="H108" s="1088"/>
      <c r="I108" s="25"/>
      <c r="J108" s="25"/>
      <c r="K108" s="25"/>
      <c r="L108" s="25"/>
      <c r="M108" s="25"/>
      <c r="N108" s="25"/>
      <c r="O108" s="25"/>
      <c r="P108" s="25"/>
      <c r="Q108" s="516"/>
      <c r="R108" s="516"/>
      <c r="S108" s="516"/>
      <c r="T108" s="25"/>
      <c r="U108" s="25"/>
      <c r="V108" s="25"/>
      <c r="W108" s="25"/>
      <c r="X108" s="25"/>
    </row>
    <row r="109" spans="1:24">
      <c r="A109" s="25"/>
      <c r="B109" s="25"/>
      <c r="C109" s="25"/>
      <c r="D109" s="25"/>
      <c r="E109" s="1088"/>
      <c r="F109" s="1088"/>
      <c r="G109" s="1088"/>
      <c r="H109" s="1088"/>
      <c r="I109" s="25"/>
      <c r="J109" s="25"/>
      <c r="K109" s="25"/>
      <c r="L109" s="25"/>
      <c r="M109" s="25"/>
      <c r="N109" s="25"/>
      <c r="O109" s="25"/>
      <c r="P109" s="25"/>
      <c r="Q109" s="516"/>
      <c r="R109" s="516"/>
      <c r="S109" s="516"/>
      <c r="T109" s="25"/>
      <c r="U109" s="25"/>
      <c r="V109" s="25"/>
      <c r="W109" s="25"/>
      <c r="X109" s="25"/>
    </row>
    <row r="110" spans="1:24">
      <c r="A110" s="25"/>
      <c r="B110" s="25"/>
      <c r="C110" s="25"/>
      <c r="D110" s="25"/>
      <c r="E110" s="1088"/>
      <c r="F110" s="1088"/>
      <c r="G110" s="1088"/>
      <c r="H110" s="1088"/>
      <c r="I110" s="25"/>
      <c r="J110" s="25"/>
      <c r="K110" s="25"/>
      <c r="L110" s="25"/>
      <c r="M110" s="25"/>
      <c r="N110" s="25"/>
      <c r="O110" s="25"/>
      <c r="P110" s="25"/>
      <c r="Q110" s="516"/>
      <c r="R110" s="516"/>
      <c r="S110" s="516"/>
      <c r="T110" s="25"/>
      <c r="U110" s="25"/>
      <c r="V110" s="25"/>
      <c r="W110" s="25"/>
      <c r="X110" s="25"/>
    </row>
    <row r="111" spans="1:24">
      <c r="A111" s="25"/>
      <c r="B111" s="25"/>
      <c r="C111" s="25"/>
      <c r="D111" s="25"/>
      <c r="E111" s="1088"/>
      <c r="F111" s="1088"/>
      <c r="G111" s="1088"/>
      <c r="H111" s="1088"/>
      <c r="I111" s="25"/>
      <c r="J111" s="25"/>
      <c r="K111" s="25"/>
      <c r="L111" s="25"/>
      <c r="M111" s="25"/>
      <c r="N111" s="25"/>
      <c r="O111" s="25"/>
      <c r="P111" s="25"/>
      <c r="Q111" s="516"/>
      <c r="R111" s="516"/>
      <c r="S111" s="516"/>
      <c r="T111" s="25"/>
      <c r="U111" s="25"/>
      <c r="V111" s="25"/>
      <c r="W111" s="25"/>
      <c r="X111" s="25"/>
    </row>
    <row r="112" spans="1:24">
      <c r="A112" s="25"/>
      <c r="B112" s="25"/>
      <c r="C112" s="25"/>
      <c r="D112" s="25"/>
      <c r="E112" s="1088"/>
      <c r="F112" s="1088"/>
      <c r="G112" s="1088"/>
      <c r="H112" s="1088"/>
      <c r="I112" s="25"/>
      <c r="J112" s="25"/>
      <c r="K112" s="25"/>
      <c r="L112" s="25"/>
      <c r="M112" s="25"/>
      <c r="N112" s="25"/>
      <c r="O112" s="25"/>
      <c r="P112" s="25"/>
      <c r="Q112" s="516"/>
      <c r="R112" s="516"/>
      <c r="S112" s="516"/>
      <c r="T112" s="25"/>
      <c r="U112" s="25"/>
      <c r="V112" s="25"/>
      <c r="W112" s="25"/>
      <c r="X112" s="25"/>
    </row>
    <row r="113" spans="1:24">
      <c r="A113" s="25"/>
      <c r="B113" s="25"/>
      <c r="C113" s="25"/>
      <c r="D113" s="25"/>
      <c r="E113" s="1088"/>
      <c r="F113" s="1088"/>
      <c r="G113" s="1088"/>
      <c r="H113" s="1088"/>
      <c r="I113" s="25"/>
      <c r="J113" s="25"/>
      <c r="K113" s="25"/>
      <c r="L113" s="25"/>
      <c r="M113" s="25"/>
      <c r="N113" s="25"/>
      <c r="O113" s="25"/>
      <c r="P113" s="25"/>
      <c r="Q113" s="516"/>
      <c r="R113" s="516"/>
      <c r="S113" s="516"/>
      <c r="T113" s="25"/>
      <c r="U113" s="25"/>
      <c r="V113" s="25"/>
      <c r="W113" s="25"/>
      <c r="X113" s="25"/>
    </row>
    <row r="114" spans="1:24">
      <c r="A114" s="25"/>
      <c r="B114" s="25"/>
      <c r="C114" s="25"/>
      <c r="D114" s="25"/>
      <c r="E114" s="1088"/>
      <c r="F114" s="1088"/>
      <c r="G114" s="1088"/>
      <c r="H114" s="1088"/>
      <c r="I114" s="25"/>
      <c r="J114" s="25"/>
      <c r="K114" s="25"/>
      <c r="L114" s="25"/>
      <c r="M114" s="25"/>
      <c r="N114" s="25"/>
      <c r="O114" s="25"/>
      <c r="P114" s="25"/>
      <c r="Q114" s="516"/>
      <c r="R114" s="516"/>
      <c r="S114" s="516"/>
      <c r="T114" s="25"/>
      <c r="U114" s="25"/>
      <c r="V114" s="25"/>
      <c r="W114" s="25"/>
      <c r="X114" s="25"/>
    </row>
    <row r="115" spans="1:24">
      <c r="A115" s="25"/>
      <c r="B115" s="25"/>
      <c r="C115" s="25"/>
      <c r="D115" s="25"/>
      <c r="E115" s="1088"/>
      <c r="F115" s="1088"/>
      <c r="G115" s="1088"/>
      <c r="H115" s="1088"/>
      <c r="I115" s="25"/>
      <c r="J115" s="25"/>
      <c r="K115" s="25"/>
      <c r="L115" s="25"/>
      <c r="M115" s="25"/>
      <c r="N115" s="25"/>
      <c r="O115" s="25"/>
      <c r="P115" s="25"/>
      <c r="Q115" s="516"/>
      <c r="R115" s="516"/>
      <c r="S115" s="516"/>
      <c r="T115" s="25"/>
      <c r="U115" s="25"/>
      <c r="V115" s="25"/>
      <c r="W115" s="25"/>
      <c r="X115" s="25"/>
    </row>
    <row r="116" spans="1:24">
      <c r="A116" s="25"/>
      <c r="B116" s="25"/>
      <c r="C116" s="25"/>
      <c r="D116" s="25"/>
      <c r="E116" s="1088"/>
      <c r="F116" s="1088"/>
      <c r="G116" s="1088"/>
      <c r="H116" s="1088"/>
      <c r="I116" s="25"/>
      <c r="J116" s="25"/>
      <c r="K116" s="25"/>
      <c r="L116" s="25"/>
      <c r="M116" s="25"/>
      <c r="N116" s="25"/>
      <c r="O116" s="25"/>
      <c r="P116" s="25"/>
      <c r="Q116" s="516"/>
      <c r="R116" s="516"/>
      <c r="S116" s="516"/>
      <c r="T116" s="25"/>
      <c r="U116" s="25"/>
      <c r="V116" s="25"/>
      <c r="W116" s="25"/>
      <c r="X116" s="25"/>
    </row>
    <row r="117" spans="1:24">
      <c r="A117" s="25"/>
      <c r="B117" s="25"/>
      <c r="C117" s="25"/>
      <c r="D117" s="25"/>
      <c r="E117" s="1088"/>
      <c r="F117" s="1088"/>
      <c r="G117" s="1088"/>
      <c r="H117" s="1088"/>
      <c r="I117" s="25"/>
      <c r="J117" s="25"/>
      <c r="K117" s="25"/>
      <c r="L117" s="25"/>
      <c r="M117" s="25"/>
      <c r="N117" s="25"/>
      <c r="O117" s="25"/>
      <c r="P117" s="25"/>
      <c r="Q117" s="516"/>
      <c r="R117" s="516"/>
      <c r="S117" s="516"/>
      <c r="T117" s="25"/>
      <c r="U117" s="25"/>
      <c r="V117" s="25"/>
      <c r="W117" s="25"/>
      <c r="X117" s="25"/>
    </row>
    <row r="118" spans="1:24">
      <c r="A118" s="25"/>
      <c r="B118" s="25"/>
      <c r="C118" s="25"/>
      <c r="D118" s="25"/>
      <c r="E118" s="1088"/>
      <c r="F118" s="1088"/>
      <c r="G118" s="1088"/>
      <c r="H118" s="1088"/>
      <c r="I118" s="25"/>
      <c r="J118" s="25"/>
      <c r="K118" s="25"/>
      <c r="L118" s="25"/>
      <c r="M118" s="25"/>
      <c r="N118" s="25"/>
      <c r="O118" s="25"/>
      <c r="P118" s="25"/>
      <c r="Q118" s="516"/>
      <c r="R118" s="516"/>
      <c r="S118" s="516"/>
      <c r="T118" s="25"/>
      <c r="U118" s="25"/>
      <c r="V118" s="25"/>
      <c r="W118" s="25"/>
      <c r="X118" s="25"/>
    </row>
    <row r="119" spans="1:24">
      <c r="A119" s="25"/>
      <c r="B119" s="25"/>
      <c r="C119" s="25"/>
      <c r="D119" s="25"/>
      <c r="E119" s="1088"/>
      <c r="F119" s="1088"/>
      <c r="G119" s="1088"/>
      <c r="H119" s="1088"/>
      <c r="I119" s="25"/>
      <c r="J119" s="25"/>
      <c r="K119" s="25"/>
      <c r="L119" s="25"/>
      <c r="M119" s="25"/>
      <c r="N119" s="25"/>
      <c r="O119" s="25"/>
      <c r="P119" s="25"/>
      <c r="Q119" s="516"/>
      <c r="R119" s="516"/>
      <c r="S119" s="516"/>
      <c r="T119" s="25"/>
      <c r="U119" s="25"/>
      <c r="V119" s="25"/>
      <c r="W119" s="25"/>
      <c r="X119" s="25"/>
    </row>
    <row r="120" spans="1:24">
      <c r="A120" s="25"/>
      <c r="B120" s="25"/>
      <c r="C120" s="25"/>
      <c r="D120" s="25"/>
      <c r="E120" s="1088"/>
      <c r="F120" s="1088"/>
      <c r="G120" s="1088"/>
      <c r="H120" s="1088"/>
      <c r="I120" s="25"/>
      <c r="J120" s="25"/>
      <c r="K120" s="25"/>
      <c r="L120" s="25"/>
      <c r="M120" s="25"/>
      <c r="N120" s="25"/>
      <c r="O120" s="25"/>
      <c r="P120" s="25"/>
      <c r="Q120" s="516"/>
      <c r="R120" s="516"/>
      <c r="S120" s="516"/>
      <c r="T120" s="25"/>
      <c r="U120" s="25"/>
      <c r="V120" s="25"/>
      <c r="W120" s="25"/>
      <c r="X120" s="25"/>
    </row>
    <row r="121" spans="1:24">
      <c r="A121" s="25"/>
      <c r="B121" s="25"/>
      <c r="C121" s="25"/>
      <c r="D121" s="25"/>
      <c r="E121" s="1088"/>
      <c r="F121" s="1088"/>
      <c r="G121" s="1088"/>
      <c r="H121" s="1088"/>
      <c r="I121" s="25"/>
      <c r="J121" s="25"/>
      <c r="K121" s="25"/>
      <c r="L121" s="25"/>
      <c r="M121" s="25"/>
      <c r="N121" s="25"/>
      <c r="O121" s="25"/>
      <c r="P121" s="25"/>
      <c r="Q121" s="516"/>
      <c r="R121" s="516"/>
      <c r="S121" s="516"/>
      <c r="T121" s="25"/>
      <c r="U121" s="25"/>
      <c r="V121" s="25"/>
      <c r="W121" s="25"/>
      <c r="X121" s="25"/>
    </row>
    <row r="122" spans="1:24">
      <c r="A122" s="25"/>
      <c r="B122" s="25"/>
      <c r="C122" s="25"/>
      <c r="D122" s="25"/>
      <c r="E122" s="1088"/>
      <c r="F122" s="1088"/>
      <c r="G122" s="1088"/>
      <c r="H122" s="1088"/>
      <c r="I122" s="25"/>
      <c r="J122" s="25"/>
      <c r="K122" s="25"/>
      <c r="L122" s="25"/>
      <c r="M122" s="25"/>
      <c r="N122" s="25"/>
      <c r="O122" s="25"/>
      <c r="P122" s="25"/>
      <c r="Q122" s="516"/>
      <c r="R122" s="516"/>
      <c r="S122" s="516"/>
      <c r="T122" s="25"/>
      <c r="U122" s="25"/>
      <c r="V122" s="25"/>
      <c r="W122" s="25"/>
      <c r="X122" s="25"/>
    </row>
    <row r="123" spans="1:24">
      <c r="A123" s="25"/>
      <c r="B123" s="25"/>
      <c r="C123" s="25"/>
      <c r="D123" s="25"/>
      <c r="E123" s="1088"/>
      <c r="F123" s="1088"/>
      <c r="G123" s="1088"/>
      <c r="H123" s="1088"/>
      <c r="I123" s="25"/>
      <c r="J123" s="25"/>
      <c r="K123" s="25"/>
      <c r="L123" s="25"/>
      <c r="M123" s="25"/>
      <c r="N123" s="25"/>
      <c r="O123" s="25"/>
      <c r="P123" s="25"/>
      <c r="Q123" s="516"/>
      <c r="R123" s="516"/>
      <c r="S123" s="516"/>
      <c r="T123" s="25"/>
      <c r="U123" s="25"/>
      <c r="V123" s="25"/>
      <c r="W123" s="25"/>
      <c r="X123" s="25"/>
    </row>
    <row r="124" spans="1:24">
      <c r="A124" s="25"/>
      <c r="B124" s="25"/>
      <c r="C124" s="25"/>
      <c r="D124" s="25"/>
      <c r="E124" s="1088"/>
      <c r="F124" s="1088"/>
      <c r="G124" s="1088"/>
      <c r="H124" s="1088"/>
      <c r="I124" s="25"/>
      <c r="J124" s="25"/>
      <c r="K124" s="25"/>
      <c r="L124" s="25"/>
      <c r="M124" s="25"/>
      <c r="N124" s="25"/>
      <c r="O124" s="25"/>
      <c r="P124" s="25"/>
      <c r="Q124" s="516"/>
      <c r="R124" s="516"/>
      <c r="S124" s="516"/>
      <c r="T124" s="25"/>
      <c r="U124" s="25"/>
      <c r="V124" s="25"/>
      <c r="W124" s="25"/>
      <c r="X124" s="25"/>
    </row>
    <row r="125" spans="1:24">
      <c r="A125" s="25"/>
      <c r="B125" s="25"/>
      <c r="C125" s="25"/>
      <c r="D125" s="25"/>
      <c r="E125" s="1088"/>
      <c r="F125" s="1088"/>
      <c r="G125" s="1088"/>
      <c r="H125" s="1088"/>
      <c r="I125" s="25"/>
      <c r="J125" s="25"/>
      <c r="K125" s="25"/>
      <c r="L125" s="25"/>
      <c r="M125" s="25"/>
      <c r="N125" s="25"/>
      <c r="O125" s="25"/>
      <c r="P125" s="25"/>
      <c r="Q125" s="516"/>
      <c r="R125" s="516"/>
      <c r="S125" s="516"/>
      <c r="T125" s="25"/>
      <c r="U125" s="25"/>
      <c r="V125" s="25"/>
      <c r="W125" s="25"/>
      <c r="X125" s="25"/>
    </row>
    <row r="126" spans="1:24">
      <c r="A126" s="25"/>
      <c r="B126" s="25"/>
      <c r="C126" s="25"/>
      <c r="D126" s="25"/>
      <c r="E126" s="1088"/>
      <c r="F126" s="1088"/>
      <c r="G126" s="1088"/>
      <c r="H126" s="1088"/>
      <c r="I126" s="25"/>
      <c r="J126" s="25"/>
      <c r="K126" s="25"/>
      <c r="L126" s="25"/>
      <c r="M126" s="25"/>
      <c r="N126" s="25"/>
      <c r="O126" s="25"/>
      <c r="P126" s="25"/>
      <c r="Q126" s="516"/>
      <c r="R126" s="516"/>
      <c r="S126" s="516"/>
      <c r="T126" s="25"/>
      <c r="U126" s="25"/>
      <c r="V126" s="25"/>
      <c r="W126" s="25"/>
      <c r="X126" s="25"/>
    </row>
    <row r="127" spans="1:24">
      <c r="A127" s="25"/>
      <c r="B127" s="25"/>
      <c r="C127" s="25"/>
      <c r="D127" s="25"/>
      <c r="E127" s="1088"/>
      <c r="F127" s="1088"/>
      <c r="G127" s="1088"/>
      <c r="H127" s="1088"/>
      <c r="I127" s="25"/>
      <c r="J127" s="25"/>
      <c r="K127" s="25"/>
      <c r="L127" s="25"/>
      <c r="M127" s="25"/>
      <c r="N127" s="25"/>
      <c r="O127" s="25"/>
      <c r="P127" s="25"/>
      <c r="Q127" s="516"/>
      <c r="R127" s="516"/>
      <c r="S127" s="516"/>
      <c r="T127" s="25"/>
      <c r="U127" s="25"/>
      <c r="V127" s="25"/>
      <c r="W127" s="25"/>
      <c r="X127" s="25"/>
    </row>
    <row r="128" spans="1:24">
      <c r="A128" s="25"/>
      <c r="B128" s="25"/>
      <c r="C128" s="25"/>
      <c r="D128" s="25"/>
      <c r="E128" s="1088"/>
      <c r="F128" s="1088"/>
      <c r="G128" s="1088"/>
      <c r="H128" s="1088"/>
      <c r="I128" s="25"/>
      <c r="J128" s="25"/>
      <c r="K128" s="25"/>
      <c r="L128" s="25"/>
      <c r="M128" s="25"/>
      <c r="N128" s="25"/>
      <c r="O128" s="25"/>
      <c r="P128" s="25"/>
      <c r="Q128" s="516"/>
      <c r="R128" s="516"/>
      <c r="S128" s="516"/>
      <c r="T128" s="25"/>
      <c r="U128" s="25"/>
      <c r="V128" s="25"/>
      <c r="W128" s="25"/>
      <c r="X128" s="25"/>
    </row>
    <row r="129" spans="1:24">
      <c r="A129" s="25"/>
      <c r="B129" s="25"/>
      <c r="C129" s="25"/>
      <c r="D129" s="25"/>
      <c r="E129" s="1088"/>
      <c r="F129" s="1088"/>
      <c r="G129" s="1088"/>
      <c r="H129" s="1088"/>
      <c r="I129" s="25"/>
      <c r="J129" s="25"/>
      <c r="K129" s="25"/>
      <c r="L129" s="25"/>
      <c r="M129" s="25"/>
      <c r="N129" s="25"/>
      <c r="O129" s="25"/>
      <c r="P129" s="25"/>
      <c r="Q129" s="516"/>
      <c r="R129" s="516"/>
      <c r="S129" s="516"/>
      <c r="T129" s="25"/>
      <c r="U129" s="25"/>
      <c r="V129" s="25"/>
      <c r="W129" s="25"/>
      <c r="X129" s="25"/>
    </row>
  </sheetData>
  <mergeCells count="11">
    <mergeCell ref="C3:D3"/>
    <mergeCell ref="O8:P8"/>
    <mergeCell ref="C4:D4"/>
    <mergeCell ref="I42:J42"/>
    <mergeCell ref="I46:J46"/>
    <mergeCell ref="I8:K8"/>
    <mergeCell ref="F8:H8"/>
    <mergeCell ref="L8:N8"/>
    <mergeCell ref="I39:J39"/>
    <mergeCell ref="C5:D5"/>
    <mergeCell ref="C6:D6"/>
  </mergeCells>
  <dataValidations count="3">
    <dataValidation type="list" allowBlank="1" showInputMessage="1" showErrorMessage="1" sqref="C6:D6" xr:uid="{00000000-0002-0000-0F00-000000000000}">
      <formula1>"Current,Scheduled"</formula1>
    </dataValidation>
    <dataValidation type="list" allowBlank="1" showInputMessage="1" showErrorMessage="1" sqref="C4:D4" xr:uid="{00000000-0002-0000-0F00-000001000000}">
      <formula1>"Monthly, Annual"</formula1>
    </dataValidation>
    <dataValidation type="list" allowBlank="1" showInputMessage="1" showErrorMessage="1" sqref="C3" xr:uid="{D298C146-522D-4522-90A5-3C88FF6D5738}">
      <formula1>"Current,Scheduled, Potential"</formula1>
    </dataValidation>
  </dataValidations>
  <printOptions horizontalCentered="1"/>
  <pageMargins left="0" right="0" top="1.75" bottom="0.5" header="0" footer="0"/>
  <pageSetup fitToHeight="0" orientation="landscape" cellComments="atEnd" r:id="rId1"/>
  <customProperties>
    <customPr name="GUID" r:id="rId2"/>
  </customProperties>
  <drawing r:id="rId3"/>
  <extLst>
    <ext xmlns:x14="http://schemas.microsoft.com/office/spreadsheetml/2009/9/main" uri="{78C0D931-6437-407d-A8EE-F0AAD7539E65}">
      <x14:conditionalFormattings>
        <x14:conditionalFormatting xmlns:xm="http://schemas.microsoft.com/office/excel/2006/main">
          <x14:cfRule type="expression" priority="166" id="{11AE18F4-5289-496F-9E17-5F51D17D1C3C}">
            <xm:f>'Rent Roll Summary Input'!$F$8=""</xm:f>
            <x14:dxf>
              <font>
                <color theme="0"/>
              </font>
            </x14:dxf>
          </x14:cfRule>
          <xm:sqref>A11</xm:sqref>
        </x14:conditionalFormatting>
        <x14:conditionalFormatting xmlns:xm="http://schemas.microsoft.com/office/excel/2006/main">
          <x14:cfRule type="expression" priority="165" id="{7A466A29-E625-4409-BF47-8C2785C98FEE}">
            <xm:f>'Rent Roll Summary Input'!$F$9=""</xm:f>
            <x14:dxf>
              <font>
                <color theme="0"/>
              </font>
            </x14:dxf>
          </x14:cfRule>
          <xm:sqref>A12</xm:sqref>
        </x14:conditionalFormatting>
        <x14:conditionalFormatting xmlns:xm="http://schemas.microsoft.com/office/excel/2006/main">
          <x14:cfRule type="expression" priority="164" id="{E6A709DA-21BE-4898-AD5F-3D00289FCB05}">
            <xm:f>'Rent Roll Summary Input'!$F$10=""</xm:f>
            <x14:dxf>
              <font>
                <color theme="0"/>
              </font>
            </x14:dxf>
          </x14:cfRule>
          <xm:sqref>A13</xm:sqref>
        </x14:conditionalFormatting>
        <x14:conditionalFormatting xmlns:xm="http://schemas.microsoft.com/office/excel/2006/main">
          <x14:cfRule type="expression" priority="163" id="{B6CB792D-63A4-4BBF-865C-D430E91D4607}">
            <xm:f>'Rent Roll Summary Input'!$F$11=""</xm:f>
            <x14:dxf>
              <font>
                <color theme="0"/>
              </font>
            </x14:dxf>
          </x14:cfRule>
          <xm:sqref>A14</xm:sqref>
        </x14:conditionalFormatting>
        <x14:conditionalFormatting xmlns:xm="http://schemas.microsoft.com/office/excel/2006/main">
          <x14:cfRule type="expression" priority="156" id="{4D74958F-22DD-4F9C-92BB-983B72887198}">
            <xm:f>'Rent Roll Summary Input'!$F$20=""</xm:f>
            <x14:dxf>
              <font>
                <color theme="0"/>
              </font>
            </x14:dxf>
          </x14:cfRule>
          <xm:sqref>A17</xm:sqref>
        </x14:conditionalFormatting>
        <x14:conditionalFormatting xmlns:xm="http://schemas.microsoft.com/office/excel/2006/main">
          <x14:cfRule type="expression" priority="155" id="{FAE3111E-66F9-4B10-AAB1-346FA7FE477F}">
            <xm:f>'Rent Roll Summary Input'!$F$21=""</xm:f>
            <x14:dxf>
              <font>
                <color theme="0"/>
              </font>
            </x14:dxf>
          </x14:cfRule>
          <xm:sqref>A18</xm:sqref>
        </x14:conditionalFormatting>
        <x14:conditionalFormatting xmlns:xm="http://schemas.microsoft.com/office/excel/2006/main">
          <x14:cfRule type="expression" priority="154" id="{E17D1A13-990C-467A-A0D7-A3E6F24DE1DC}">
            <xm:f>'Rent Roll Summary Input'!$F$22=""</xm:f>
            <x14:dxf>
              <font>
                <color theme="0"/>
              </font>
            </x14:dxf>
          </x14:cfRule>
          <xm:sqref>A19</xm:sqref>
        </x14:conditionalFormatting>
        <x14:conditionalFormatting xmlns:xm="http://schemas.microsoft.com/office/excel/2006/main">
          <x14:cfRule type="expression" priority="153" id="{36E7379C-D69E-4AC0-80B3-3EA19743CAC6}">
            <xm:f>'Rent Roll Summary Input'!$F$23=""</xm:f>
            <x14:dxf>
              <font>
                <color theme="0"/>
              </font>
            </x14:dxf>
          </x14:cfRule>
          <xm:sqref>A20</xm:sqref>
        </x14:conditionalFormatting>
        <x14:conditionalFormatting xmlns:xm="http://schemas.microsoft.com/office/excel/2006/main">
          <x14:cfRule type="expression" priority="147" id="{27876C39-065E-48C4-A78F-BD01EB7583C5}">
            <xm:f>'Rent Roll Summary Input'!$F$30=""</xm:f>
            <x14:dxf>
              <font>
                <color theme="0"/>
              </font>
            </x14:dxf>
          </x14:cfRule>
          <xm:sqref>A21</xm:sqref>
        </x14:conditionalFormatting>
        <x14:conditionalFormatting xmlns:xm="http://schemas.microsoft.com/office/excel/2006/main">
          <x14:cfRule type="expression" priority="146" id="{CADE6211-ED64-4D5D-8D99-931279E381C7}">
            <xm:f>'Rent Roll Summary Input'!$F$31=""</xm:f>
            <x14:dxf>
              <font>
                <color theme="0"/>
              </font>
            </x14:dxf>
          </x14:cfRule>
          <xm:sqref>A22</xm:sqref>
        </x14:conditionalFormatting>
        <x14:conditionalFormatting xmlns:xm="http://schemas.microsoft.com/office/excel/2006/main">
          <x14:cfRule type="expression" priority="145" id="{3A7A22EB-CD98-4826-9198-F79B84FE12DD}">
            <xm:f>'Rent Roll Summary Input'!$F$32=""</xm:f>
            <x14:dxf>
              <font>
                <color theme="0"/>
              </font>
            </x14:dxf>
          </x14:cfRule>
          <xm:sqref>A23</xm:sqref>
        </x14:conditionalFormatting>
        <x14:conditionalFormatting xmlns:xm="http://schemas.microsoft.com/office/excel/2006/main">
          <x14:cfRule type="expression" priority="144" id="{8C037025-A848-4804-BBB1-2F8333C0329E}">
            <xm:f>'Rent Roll Summary Input'!$F$33=""</xm:f>
            <x14:dxf>
              <font>
                <color theme="0"/>
              </font>
            </x14:dxf>
          </x14:cfRule>
          <xm:sqref>A24</xm:sqref>
        </x14:conditionalFormatting>
        <x14:conditionalFormatting xmlns:xm="http://schemas.microsoft.com/office/excel/2006/main">
          <x14:cfRule type="expression" priority="143" id="{F6DDA94F-F58A-4772-8BA1-9B082728BB5F}">
            <xm:f>'Rent Roll Summary Input'!$F$34=""</xm:f>
            <x14:dxf>
              <font>
                <color theme="0"/>
              </font>
            </x14:dxf>
          </x14:cfRule>
          <xm:sqref>A25</xm:sqref>
        </x14:conditionalFormatting>
        <x14:conditionalFormatting xmlns:xm="http://schemas.microsoft.com/office/excel/2006/main">
          <x14:cfRule type="expression" priority="137" id="{FB980D05-C956-4909-B712-200547703BA4}">
            <xm:f>'Rent Roll Summary Input'!$F$41=""</xm:f>
            <x14:dxf>
              <font>
                <color theme="0"/>
              </font>
            </x14:dxf>
          </x14:cfRule>
          <xm:sqref>A26</xm:sqref>
        </x14:conditionalFormatting>
        <x14:conditionalFormatting xmlns:xm="http://schemas.microsoft.com/office/excel/2006/main">
          <x14:cfRule type="expression" priority="136" id="{AE1353B5-3211-479F-9970-17A7C2EAF2E5}">
            <xm:f>'Rent Roll Summary Input'!$F$42=""</xm:f>
            <x14:dxf>
              <font>
                <color theme="0"/>
              </font>
            </x14:dxf>
          </x14:cfRule>
          <xm:sqref>A27</xm:sqref>
        </x14:conditionalFormatting>
        <x14:conditionalFormatting xmlns:xm="http://schemas.microsoft.com/office/excel/2006/main">
          <x14:cfRule type="expression" priority="135" id="{E4923431-D686-4AA2-AF21-644C737A4207}">
            <xm:f>'Rent Roll Summary Input'!$F$43=""</xm:f>
            <x14:dxf>
              <font>
                <color theme="0"/>
              </font>
            </x14:dxf>
          </x14:cfRule>
          <xm:sqref>A28</xm:sqref>
        </x14:conditionalFormatting>
        <x14:conditionalFormatting xmlns:xm="http://schemas.microsoft.com/office/excel/2006/main">
          <x14:cfRule type="expression" priority="134" id="{1412C861-C20C-4068-8B80-D4432EAB9181}">
            <xm:f>'Rent Roll Summary Input'!$F$44=""</xm:f>
            <x14:dxf>
              <font>
                <color theme="0"/>
              </font>
            </x14:dxf>
          </x14:cfRule>
          <xm:sqref>A29:A34</xm:sqref>
        </x14:conditionalFormatting>
        <x14:conditionalFormatting xmlns:xm="http://schemas.microsoft.com/office/excel/2006/main">
          <x14:cfRule type="expression" priority="133" id="{1B966B29-F487-45DD-9858-4AA35D576A83}">
            <xm:f>'Rent Roll Summary Input'!$F$45=""</xm:f>
            <x14:dxf>
              <font>
                <color theme="0"/>
              </font>
            </x14:dxf>
          </x14:cfRule>
          <xm:sqref>A35</xm:sqref>
        </x14:conditionalFormatting>
        <x14:conditionalFormatting xmlns:xm="http://schemas.microsoft.com/office/excel/2006/main">
          <x14:cfRule type="expression" priority="186" id="{4FFC0115-EBF7-423C-9E33-6C107F6BF889}">
            <xm:f>'Rent Roll Summary Input'!#REF!=""</xm:f>
            <x14:dxf>
              <font>
                <color theme="0"/>
              </font>
            </x14:dxf>
          </x14:cfRule>
          <xm:sqref>B36:E36 B38:M38</xm:sqref>
        </x14:conditionalFormatting>
        <x14:conditionalFormatting xmlns:xm="http://schemas.microsoft.com/office/excel/2006/main">
          <x14:cfRule type="expression" priority="124" id="{5B936963-42ED-474C-BC56-17EBAB67F335}">
            <xm:f>'Rent Roll Summary Input'!#REF!=""</xm:f>
            <x14:dxf>
              <font>
                <color theme="0"/>
              </font>
            </x14:dxf>
          </x14:cfRule>
          <xm:sqref>I36:J36</xm:sqref>
        </x14:conditionalFormatting>
        <x14:conditionalFormatting xmlns:xm="http://schemas.microsoft.com/office/excel/2006/main">
          <x14:cfRule type="expression" priority="103" id="{F96F06B0-6FC3-4D08-8503-CC915FFCB1CB}">
            <xm:f>'Rent Roll Summary Input'!#REF!=""</xm:f>
            <x14:dxf>
              <font>
                <color theme="0"/>
              </font>
            </x14:dxf>
          </x14:cfRule>
          <xm:sqref>L36:M36</xm:sqref>
        </x14:conditionalFormatting>
        <x14:conditionalFormatting xmlns:xm="http://schemas.microsoft.com/office/excel/2006/main">
          <x14:cfRule type="expression" priority="62" id="{2F8E8CB2-9106-49E6-8A62-BCD56D918342}">
            <xm:f>'Rent Roll Summary Input'!#REF!=""</xm:f>
            <x14:dxf>
              <font>
                <color theme="0"/>
              </font>
            </x14:dxf>
          </x14:cfRule>
          <xm:sqref>N38</xm:sqref>
        </x14:conditionalFormatting>
        <x14:conditionalFormatting xmlns:xm="http://schemas.microsoft.com/office/excel/2006/main">
          <x14:cfRule type="expression" priority="17" id="{84A5DCCC-29CA-4C61-99E1-A29D904BD3CD}">
            <xm:f>'Rent Roll Summary Input'!#REF!=""</xm:f>
            <x14:dxf>
              <font>
                <color theme="0"/>
              </font>
            </x14:dxf>
          </x14:cfRule>
          <xm:sqref>N36</xm:sqref>
        </x14:conditionalFormatting>
        <x14:conditionalFormatting xmlns:xm="http://schemas.microsoft.com/office/excel/2006/main">
          <x14:cfRule type="expression" priority="16" id="{069A57D7-A67C-4338-944A-8B0B88C67788}">
            <xm:f>'Rent Roll Summary Input'!#REF!=""</xm:f>
            <x14:dxf>
              <font>
                <color theme="0"/>
              </font>
            </x14:dxf>
          </x14:cfRule>
          <xm:sqref>K36</xm:sqref>
        </x14:conditionalFormatting>
        <x14:conditionalFormatting xmlns:xm="http://schemas.microsoft.com/office/excel/2006/main">
          <x14:cfRule type="expression" priority="3" id="{F79EB006-1D79-4057-A800-D7517E3766E5}">
            <xm:f>'Rent Roll Summary Input'!#REF!=""</xm:f>
            <x14:dxf>
              <font>
                <color theme="0"/>
              </font>
            </x14:dxf>
          </x14:cfRule>
          <xm:sqref>O38:P38</xm:sqref>
        </x14:conditionalFormatting>
        <x14:conditionalFormatting xmlns:xm="http://schemas.microsoft.com/office/excel/2006/main">
          <x14:cfRule type="expression" priority="4" id="{594F06EA-110C-4534-AC7F-BB07D06CB754}">
            <xm:f>'Rent Roll Summary Input'!#REF!=""</xm:f>
            <x14:dxf>
              <font>
                <color theme="0"/>
              </font>
            </x14:dxf>
          </x14:cfRule>
          <xm:sqref>O36</xm:sqref>
        </x14:conditionalFormatting>
        <x14:conditionalFormatting xmlns:xm="http://schemas.microsoft.com/office/excel/2006/main">
          <x14:cfRule type="expression" priority="5" id="{2660548E-B547-4F9B-AB60-0BCF70784C14}">
            <xm:f>'Rent Roll Summary Input'!#REF!=""</xm:f>
            <x14:dxf>
              <font>
                <color theme="0"/>
              </font>
            </x14:dxf>
          </x14:cfRule>
          <xm:sqref>P36</xm:sqref>
        </x14:conditionalFormatting>
        <x14:conditionalFormatting xmlns:xm="http://schemas.microsoft.com/office/excel/2006/main">
          <x14:cfRule type="expression" priority="2" id="{12879D18-1430-4A11-A62A-4A11AED6387C}">
            <xm:f>'Rent Roll Summary Input'!#REF!=""</xm:f>
            <x14:dxf>
              <font>
                <color theme="0"/>
              </font>
            </x14:dxf>
          </x14:cfRule>
          <xm:sqref>F36:G36</xm:sqref>
        </x14:conditionalFormatting>
        <x14:conditionalFormatting xmlns:xm="http://schemas.microsoft.com/office/excel/2006/main">
          <x14:cfRule type="expression" priority="1" id="{CBCB2C6E-153B-4819-8A3D-19CED521BB25}">
            <xm:f>'Rent Roll Summary Input'!#REF!=""</xm:f>
            <x14:dxf>
              <font>
                <color theme="0"/>
              </font>
            </x14:dxf>
          </x14:cfRule>
          <xm:sqref>H36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2000000}">
          <x14:formula1>
            <xm:f>DDL!$A$56:$A$58</xm:f>
          </x14:formula1>
          <xm:sqref>C5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rgb="FF92D050"/>
  </sheetPr>
  <dimension ref="A1:AD64"/>
  <sheetViews>
    <sheetView showGridLines="0" tabSelected="1" zoomScale="145" zoomScaleNormal="145" zoomScaleSheetLayoutView="96" zoomScalePageLayoutView="170" workbookViewId="0">
      <selection activeCell="W42" sqref="D3:W42"/>
    </sheetView>
  </sheetViews>
  <sheetFormatPr defaultColWidth="8.85546875" defaultRowHeight="9"/>
  <cols>
    <col min="1" max="1" width="2.42578125" style="21" customWidth="1"/>
    <col min="2" max="3" width="2.5703125" style="21" customWidth="1"/>
    <col min="4" max="4" width="1.5703125" style="21" customWidth="1"/>
    <col min="5" max="5" width="4.42578125" style="21" customWidth="1"/>
    <col min="6" max="6" width="2.42578125" style="21" customWidth="1"/>
    <col min="7" max="7" width="6" style="21" customWidth="1"/>
    <col min="8" max="8" width="19.140625" style="21" customWidth="1"/>
    <col min="9" max="9" width="9.42578125" style="52" hidden="1" customWidth="1"/>
    <col min="10" max="10" width="6.42578125" style="23" hidden="1" customWidth="1"/>
    <col min="11" max="11" width="9.42578125" style="52" hidden="1" customWidth="1"/>
    <col min="12" max="12" width="6.42578125" style="23" hidden="1" customWidth="1"/>
    <col min="13" max="13" width="9.42578125" style="52" hidden="1" customWidth="1"/>
    <col min="14" max="14" width="6.42578125" style="23" hidden="1" customWidth="1"/>
    <col min="15" max="15" width="13.7109375" style="52" customWidth="1"/>
    <col min="16" max="16" width="7.85546875" style="23" customWidth="1"/>
    <col min="17" max="17" width="13.7109375" style="52" customWidth="1"/>
    <col min="18" max="18" width="7" style="23" customWidth="1"/>
    <col min="19" max="19" width="13.5703125" style="23" hidden="1" customWidth="1"/>
    <col min="20" max="20" width="8.7109375" style="23" customWidth="1"/>
    <col min="21" max="21" width="8.7109375" style="52" customWidth="1"/>
    <col min="22" max="22" width="18.42578125" style="52" customWidth="1"/>
    <col min="23" max="23" width="2.5703125" style="52" customWidth="1"/>
    <col min="24" max="24" width="2.5703125" style="21" customWidth="1"/>
    <col min="25" max="25" width="5.42578125" style="21" customWidth="1"/>
    <col min="26" max="26" width="18.140625" style="21" customWidth="1"/>
    <col min="27" max="27" width="12" style="21" customWidth="1"/>
    <col min="28" max="28" width="8.85546875" style="21" customWidth="1"/>
    <col min="29" max="16384" width="8.85546875" style="21"/>
  </cols>
  <sheetData>
    <row r="1" spans="1:30" ht="32.25" customHeight="1">
      <c r="A1" s="589"/>
      <c r="B1" s="955"/>
      <c r="C1" s="955"/>
      <c r="D1" s="955"/>
      <c r="E1" s="955"/>
      <c r="F1" s="955"/>
      <c r="G1" s="955"/>
      <c r="H1" s="955"/>
      <c r="I1" s="956"/>
      <c r="J1" s="957"/>
      <c r="K1" s="956"/>
      <c r="L1" s="957"/>
      <c r="M1" s="956"/>
      <c r="N1" s="957"/>
      <c r="O1" s="956"/>
      <c r="P1" s="957"/>
      <c r="Q1" s="956"/>
      <c r="R1" s="957"/>
      <c r="S1" s="957"/>
      <c r="T1" s="957"/>
      <c r="U1" s="956"/>
      <c r="V1" s="956"/>
      <c r="W1" s="956"/>
      <c r="X1" s="955"/>
      <c r="Y1" s="955"/>
      <c r="Z1" s="955"/>
      <c r="AA1" s="955"/>
      <c r="AB1" s="955"/>
      <c r="AC1" s="955"/>
      <c r="AD1" s="955"/>
    </row>
    <row r="2" spans="1:30" ht="9" customHeight="1">
      <c r="A2" s="589"/>
      <c r="B2" s="955"/>
      <c r="C2" s="958"/>
      <c r="D2" s="955"/>
      <c r="E2" s="1347" t="s">
        <v>1718</v>
      </c>
      <c r="F2" s="955"/>
      <c r="G2" s="955"/>
      <c r="H2" s="955"/>
      <c r="I2" s="956"/>
      <c r="J2" s="957"/>
      <c r="K2" s="956"/>
      <c r="L2" s="957"/>
      <c r="M2" s="956"/>
      <c r="N2" s="957"/>
      <c r="O2" s="956"/>
      <c r="P2" s="957"/>
      <c r="Q2" s="956"/>
      <c r="R2" s="957"/>
      <c r="S2" s="957"/>
      <c r="T2" s="957"/>
      <c r="U2" s="956"/>
      <c r="V2" s="956"/>
      <c r="W2" s="956"/>
      <c r="X2" s="955"/>
      <c r="Y2" s="959"/>
      <c r="Z2" s="1124" t="s">
        <v>1719</v>
      </c>
      <c r="AA2" s="1125">
        <v>0</v>
      </c>
      <c r="AB2" s="955"/>
      <c r="AC2" s="955"/>
      <c r="AD2" s="955"/>
    </row>
    <row r="3" spans="1:30" ht="9" customHeight="1">
      <c r="A3" s="589"/>
      <c r="B3" s="955"/>
      <c r="C3" s="955"/>
      <c r="D3" s="955"/>
      <c r="E3" s="955"/>
      <c r="F3" s="955"/>
      <c r="G3" s="955"/>
      <c r="H3" s="955"/>
      <c r="I3" s="960"/>
      <c r="J3" s="961"/>
      <c r="K3" s="960"/>
      <c r="L3" s="961"/>
      <c r="M3" s="960"/>
      <c r="N3" s="961"/>
      <c r="O3" s="960"/>
      <c r="P3" s="961"/>
      <c r="Q3" s="962"/>
      <c r="R3" s="961"/>
      <c r="S3" s="961"/>
      <c r="T3" s="961"/>
      <c r="U3" s="962"/>
      <c r="V3" s="962"/>
      <c r="W3" s="956"/>
      <c r="X3" s="955"/>
      <c r="Y3" s="959"/>
      <c r="Z3" s="1126" t="s">
        <v>1720</v>
      </c>
      <c r="AA3" s="1127" t="s">
        <v>1928</v>
      </c>
      <c r="AB3" s="955"/>
      <c r="AC3" s="955"/>
      <c r="AD3" s="955"/>
    </row>
    <row r="4" spans="1:30" s="45" customFormat="1" ht="9.9499999999999993" customHeight="1">
      <c r="A4" s="598"/>
      <c r="B4" s="963"/>
      <c r="C4" s="963"/>
      <c r="D4" s="963"/>
      <c r="E4" s="1230" t="s">
        <v>1713</v>
      </c>
      <c r="F4" s="1231"/>
      <c r="G4" s="1231"/>
      <c r="H4" s="1231"/>
      <c r="I4" s="1232" t="s">
        <v>724</v>
      </c>
      <c r="J4" s="1233"/>
      <c r="K4" s="1232" t="s">
        <v>726</v>
      </c>
      <c r="L4" s="1233"/>
      <c r="M4" s="1232" t="s">
        <v>728</v>
      </c>
      <c r="N4" s="1233"/>
      <c r="O4" s="1234" t="s">
        <v>78</v>
      </c>
      <c r="P4" s="1230"/>
      <c r="Q4" s="1234" t="s">
        <v>1929</v>
      </c>
      <c r="R4" s="1230"/>
      <c r="S4" s="1235" t="s">
        <v>731</v>
      </c>
      <c r="T4" s="1236" t="s">
        <v>1721</v>
      </c>
      <c r="U4" s="1237" t="s">
        <v>1722</v>
      </c>
      <c r="V4" s="1237" t="s">
        <v>1723</v>
      </c>
      <c r="W4" s="964"/>
      <c r="X4" s="963"/>
      <c r="Y4" s="963"/>
      <c r="Z4" s="1001" t="str">
        <f>Q4&amp;" Tax Rate: "</f>
        <v xml:space="preserve">Pro Forma Tax Rate: </v>
      </c>
      <c r="AA4" s="1550">
        <v>1.1299999999999999E-2</v>
      </c>
      <c r="AB4" s="963"/>
      <c r="AC4" s="963"/>
      <c r="AD4" s="963"/>
    </row>
    <row r="5" spans="1:30" s="45" customFormat="1" ht="9.9499999999999993" customHeight="1">
      <c r="A5" s="598"/>
      <c r="B5" s="963"/>
      <c r="C5" s="963"/>
      <c r="D5" s="963"/>
      <c r="E5" s="1238" t="s">
        <v>1724</v>
      </c>
      <c r="F5" s="1239"/>
      <c r="G5" s="1239"/>
      <c r="H5" s="1239"/>
      <c r="I5" s="1240"/>
      <c r="J5" s="1241"/>
      <c r="K5" s="1240"/>
      <c r="L5" s="1241"/>
      <c r="M5" s="1240"/>
      <c r="N5" s="1241"/>
      <c r="O5" s="1241"/>
      <c r="P5" s="1242"/>
      <c r="Q5" s="1241"/>
      <c r="R5" s="1242"/>
      <c r="S5" s="1241"/>
      <c r="T5" s="1241"/>
      <c r="U5" s="1243"/>
      <c r="V5" s="1243"/>
      <c r="W5" s="964"/>
      <c r="X5" s="963"/>
      <c r="Y5" s="963"/>
      <c r="Z5" s="966"/>
      <c r="AA5" s="967"/>
      <c r="AB5" s="963"/>
      <c r="AC5" s="963"/>
      <c r="AD5" s="963"/>
    </row>
    <row r="6" spans="1:30" s="45" customFormat="1" ht="9.9499999999999993" hidden="1" customHeight="1">
      <c r="A6" s="598"/>
      <c r="B6" s="963"/>
      <c r="C6" s="963"/>
      <c r="D6" s="963"/>
      <c r="E6" s="1244" t="s">
        <v>1725</v>
      </c>
      <c r="F6" s="1245"/>
      <c r="G6" s="1244"/>
      <c r="H6" s="1244"/>
      <c r="I6" s="1246">
        <v>0</v>
      </c>
      <c r="J6" s="1247"/>
      <c r="K6" s="1246">
        <v>0</v>
      </c>
      <c r="L6" s="1247"/>
      <c r="M6" s="1246">
        <v>0</v>
      </c>
      <c r="N6" s="1247"/>
      <c r="O6" s="1247">
        <f>'Rent Roll Summary'!L38</f>
        <v>878280</v>
      </c>
      <c r="P6" s="1248"/>
      <c r="Q6" s="1247">
        <f>O6*(1+Input!B20)</f>
        <v>878280</v>
      </c>
      <c r="R6" s="1249"/>
      <c r="S6" s="1250">
        <f>'Rent Roll Summary'!O38</f>
        <v>0</v>
      </c>
      <c r="T6" s="1251"/>
      <c r="U6" s="1252">
        <f>IFERROR(Q6/'Rent Roll Summary'!$C$36,0)</f>
        <v>32528.888888888891</v>
      </c>
      <c r="V6" s="1253">
        <f>IFERROR(Q6/'Rent Roll Summary'!$T$36,0)</f>
        <v>38.735115109817414</v>
      </c>
      <c r="W6" s="964"/>
      <c r="X6" s="963"/>
      <c r="Y6" s="963"/>
      <c r="Z6" s="965"/>
      <c r="AA6" s="968"/>
      <c r="AB6" s="963"/>
      <c r="AC6" s="963"/>
      <c r="AD6" s="963"/>
    </row>
    <row r="7" spans="1:30" s="45" customFormat="1" ht="9.9499999999999993" hidden="1" customHeight="1">
      <c r="A7" s="598"/>
      <c r="B7" s="963"/>
      <c r="C7" s="963"/>
      <c r="D7" s="963"/>
      <c r="E7" s="1244" t="s">
        <v>1726</v>
      </c>
      <c r="F7" s="1245"/>
      <c r="G7" s="1244"/>
      <c r="H7" s="1244"/>
      <c r="I7" s="1246">
        <v>0</v>
      </c>
      <c r="J7" s="1254">
        <f>IFERROR(-I7/I6,0)</f>
        <v>0</v>
      </c>
      <c r="K7" s="1246">
        <v>0</v>
      </c>
      <c r="L7" s="1254">
        <f>IFERROR(-K7/K6,0)</f>
        <v>0</v>
      </c>
      <c r="M7" s="1246">
        <v>0</v>
      </c>
      <c r="N7" s="1254">
        <f>IFERROR(-M7/M6,0)</f>
        <v>0</v>
      </c>
      <c r="O7" s="1247">
        <f>O8-O6</f>
        <v>-137532</v>
      </c>
      <c r="P7" s="1255">
        <f>IFERROR(-O7/O6,0)</f>
        <v>0.15659243065992623</v>
      </c>
      <c r="Q7" s="1247">
        <f>-Q6*R7</f>
        <v>0</v>
      </c>
      <c r="R7" s="1256"/>
      <c r="S7" s="1257"/>
      <c r="T7" s="1251"/>
      <c r="U7" s="1252">
        <f>IFERROR(Q7/'Rent Roll Summary'!$C$36,0)</f>
        <v>0</v>
      </c>
      <c r="V7" s="1253">
        <f>IFERROR(Q7/'Rent Roll Summary'!$T$36,0)</f>
        <v>0</v>
      </c>
      <c r="W7" s="964"/>
      <c r="X7" s="963"/>
      <c r="Y7" s="963"/>
      <c r="Z7" s="969"/>
      <c r="AA7" s="969"/>
      <c r="AB7" s="969"/>
      <c r="AC7" s="963"/>
      <c r="AD7" s="963"/>
    </row>
    <row r="8" spans="1:30" s="45" customFormat="1" ht="9.9499999999999993" customHeight="1">
      <c r="A8" s="598"/>
      <c r="B8" s="963"/>
      <c r="C8" s="963"/>
      <c r="D8" s="963"/>
      <c r="E8" s="1258" t="str">
        <f>IF(OR(RentsShown="Current and Scheduled",RentsShown="Current and Potential"),"Gross Current Rent","Gross Scheduled Rent")</f>
        <v>Gross Scheduled Rent</v>
      </c>
      <c r="F8" s="1259"/>
      <c r="G8" s="1259"/>
      <c r="H8" s="1259"/>
      <c r="I8" s="1260">
        <f>I6+I7</f>
        <v>0</v>
      </c>
      <c r="J8" s="1261"/>
      <c r="K8" s="1260">
        <f>K6+K7</f>
        <v>0</v>
      </c>
      <c r="L8" s="1261"/>
      <c r="M8" s="1260">
        <f>M6+M7</f>
        <v>0</v>
      </c>
      <c r="N8" s="1261"/>
      <c r="O8" s="1261">
        <f>IF(OR(RentsShown="Current and Scheduled",RentsShown="Current and Potential"),'Rent Roll Summary'!F38,'Rent Roll Summary'!I38)</f>
        <v>740748</v>
      </c>
      <c r="P8" s="1262"/>
      <c r="Q8" s="1261">
        <f>+Q6+Q7</f>
        <v>878280</v>
      </c>
      <c r="R8" s="1263"/>
      <c r="S8" s="1264">
        <f>+S6+S7</f>
        <v>0</v>
      </c>
      <c r="T8" s="1251"/>
      <c r="U8" s="1265">
        <f>IFERROR(Q8/'Rent Roll Summary'!$C$36,0)</f>
        <v>32528.888888888891</v>
      </c>
      <c r="V8" s="1266">
        <f>IFERROR(Q8/'Rent Roll Summary'!$T$36,0)</f>
        <v>38.735115109817414</v>
      </c>
      <c r="W8" s="964"/>
      <c r="X8" s="963"/>
      <c r="Y8" s="963"/>
      <c r="Z8" s="1589" t="s">
        <v>1727</v>
      </c>
      <c r="AA8" s="1589"/>
      <c r="AB8" s="1591" t="s">
        <v>126</v>
      </c>
      <c r="AC8" s="963"/>
      <c r="AD8" s="963"/>
    </row>
    <row r="9" spans="1:30" s="45" customFormat="1" ht="9.9499999999999993" customHeight="1">
      <c r="A9" s="598"/>
      <c r="B9" s="963"/>
      <c r="C9" s="963"/>
      <c r="D9" s="963"/>
      <c r="E9" s="1245" t="s">
        <v>1728</v>
      </c>
      <c r="F9" s="1239"/>
      <c r="G9" s="1245"/>
      <c r="H9" s="1245"/>
      <c r="I9" s="1246">
        <v>0</v>
      </c>
      <c r="J9" s="1267">
        <f>IFERROR(-I9/I8,0)</f>
        <v>0</v>
      </c>
      <c r="K9" s="1246">
        <v>0</v>
      </c>
      <c r="L9" s="1267">
        <f>IFERROR(-K9/K8,0)</f>
        <v>0</v>
      </c>
      <c r="M9" s="1246">
        <v>0</v>
      </c>
      <c r="N9" s="1267">
        <f>IFERROR(-M9/M8,0)</f>
        <v>0</v>
      </c>
      <c r="O9" s="1247">
        <f>-P9*O8</f>
        <v>-37037.4</v>
      </c>
      <c r="P9" s="1256">
        <v>0.05</v>
      </c>
      <c r="Q9" s="1247">
        <f>-R9*Q8</f>
        <v>-43914</v>
      </c>
      <c r="R9" s="1256">
        <v>0.05</v>
      </c>
      <c r="S9" s="1257"/>
      <c r="T9" s="1251"/>
      <c r="U9" s="1252">
        <f>IFERROR(Q9/'Rent Roll Summary'!$C$36,0)</f>
        <v>-1626.4444444444443</v>
      </c>
      <c r="V9" s="1253">
        <f>IFERROR(Q9/'Rent Roll Summary'!$T$36,0)</f>
        <v>-1.9367557554908705</v>
      </c>
      <c r="W9" s="964"/>
      <c r="X9" s="963"/>
      <c r="Y9" s="963"/>
      <c r="Z9" s="1590"/>
      <c r="AA9" s="1590"/>
      <c r="AB9" s="1592"/>
      <c r="AC9" s="963"/>
      <c r="AD9" s="963"/>
    </row>
    <row r="10" spans="1:30" s="45" customFormat="1" ht="9.9499999999999993" hidden="1" customHeight="1">
      <c r="A10" s="598"/>
      <c r="B10" s="963"/>
      <c r="C10" s="963"/>
      <c r="D10" s="963"/>
      <c r="E10" s="1245" t="s">
        <v>1729</v>
      </c>
      <c r="F10" s="1239"/>
      <c r="G10" s="1245"/>
      <c r="H10" s="1245"/>
      <c r="I10" s="1268"/>
      <c r="J10" s="1269"/>
      <c r="K10" s="1268"/>
      <c r="L10" s="1269"/>
      <c r="M10" s="1268"/>
      <c r="N10" s="1269"/>
      <c r="O10" s="1270"/>
      <c r="P10" s="1271"/>
      <c r="Q10" s="1269"/>
      <c r="R10" s="1272"/>
      <c r="S10" s="1273"/>
      <c r="T10" s="1251"/>
      <c r="U10" s="1252"/>
      <c r="V10" s="1253"/>
      <c r="W10" s="964"/>
      <c r="X10" s="963"/>
      <c r="Y10" s="963"/>
      <c r="Z10" s="969"/>
      <c r="AA10" s="969"/>
      <c r="AB10" s="969"/>
      <c r="AC10" s="963"/>
      <c r="AD10" s="963"/>
    </row>
    <row r="11" spans="1:30" s="45" customFormat="1" ht="9.9499999999999993" hidden="1" customHeight="1">
      <c r="A11" s="598"/>
      <c r="B11" s="963"/>
      <c r="C11" s="963"/>
      <c r="D11" s="963"/>
      <c r="E11" s="1585" t="s">
        <v>750</v>
      </c>
      <c r="F11" s="1585"/>
      <c r="G11" s="1585"/>
      <c r="H11" s="1585"/>
      <c r="I11" s="1274">
        <v>0</v>
      </c>
      <c r="J11" s="1275">
        <f>IFERROR(-I11/I8,0)</f>
        <v>0</v>
      </c>
      <c r="K11" s="1274">
        <v>0</v>
      </c>
      <c r="L11" s="1275">
        <f>IFERROR(-K11/K8,0)</f>
        <v>0</v>
      </c>
      <c r="M11" s="1274">
        <v>0</v>
      </c>
      <c r="N11" s="1275">
        <f>IFERROR(-M11/M8,0)</f>
        <v>0</v>
      </c>
      <c r="O11" s="1276"/>
      <c r="P11" s="1277">
        <f>IFERROR(-O11/O8,0)</f>
        <v>0</v>
      </c>
      <c r="Q11" s="1247">
        <f>-R11*$Q$8</f>
        <v>0</v>
      </c>
      <c r="R11" s="1256"/>
      <c r="S11" s="1246"/>
      <c r="T11" s="1251"/>
      <c r="U11" s="1278">
        <f>IFERROR(Q11/'Rent Roll Summary'!$C$36,0)</f>
        <v>0</v>
      </c>
      <c r="V11" s="1253">
        <f>IFERROR(Q11/'Rent Roll Summary'!$T$36,0)</f>
        <v>0</v>
      </c>
      <c r="W11" s="964"/>
      <c r="X11" s="963"/>
      <c r="Y11" s="963"/>
      <c r="Z11" s="969"/>
      <c r="AA11" s="969"/>
      <c r="AB11" s="969"/>
      <c r="AC11" s="970"/>
      <c r="AD11" s="963"/>
    </row>
    <row r="12" spans="1:30" s="45" customFormat="1" ht="9.9499999999999993" hidden="1" customHeight="1">
      <c r="A12" s="598"/>
      <c r="B12" s="963"/>
      <c r="C12" s="963"/>
      <c r="D12" s="963"/>
      <c r="E12" s="1585" t="s">
        <v>751</v>
      </c>
      <c r="F12" s="1585"/>
      <c r="G12" s="1585"/>
      <c r="H12" s="1585"/>
      <c r="I12" s="1274">
        <v>0</v>
      </c>
      <c r="J12" s="1275">
        <f>IFERROR(-I12/I8,0)</f>
        <v>0</v>
      </c>
      <c r="K12" s="1274">
        <v>0</v>
      </c>
      <c r="L12" s="1275">
        <f>IFERROR(-K12/K8,0)</f>
        <v>0</v>
      </c>
      <c r="M12" s="1274">
        <v>0</v>
      </c>
      <c r="N12" s="1275">
        <f>IFERROR(-M12/M8,0)</f>
        <v>0</v>
      </c>
      <c r="O12" s="1276"/>
      <c r="P12" s="1277">
        <f>IFERROR(-O12/O8,0)</f>
        <v>0</v>
      </c>
      <c r="Q12" s="1247">
        <f>-R12*$Q$8</f>
        <v>0</v>
      </c>
      <c r="R12" s="1256"/>
      <c r="S12" s="1246"/>
      <c r="T12" s="1251"/>
      <c r="U12" s="1278">
        <f>IFERROR(Q12/'Rent Roll Summary'!$C$36,0)</f>
        <v>0</v>
      </c>
      <c r="V12" s="1253">
        <f>IFERROR(Q12/'Rent Roll Summary'!$T$36,0)</f>
        <v>0</v>
      </c>
      <c r="W12" s="964"/>
      <c r="X12" s="963"/>
      <c r="Y12" s="963"/>
      <c r="Z12" s="969"/>
      <c r="AA12" s="969"/>
      <c r="AB12" s="969"/>
      <c r="AC12" s="963"/>
      <c r="AD12" s="963"/>
    </row>
    <row r="13" spans="1:30" s="45" customFormat="1" ht="9.9499999999999993" hidden="1" customHeight="1">
      <c r="A13" s="598"/>
      <c r="B13" s="963"/>
      <c r="C13" s="963"/>
      <c r="D13" s="963"/>
      <c r="E13" s="1584" t="s">
        <v>752</v>
      </c>
      <c r="F13" s="1584"/>
      <c r="G13" s="1584"/>
      <c r="H13" s="1584"/>
      <c r="I13" s="1279">
        <v>0</v>
      </c>
      <c r="J13" s="1280">
        <f>IFERROR(-I13/I8,0)</f>
        <v>0</v>
      </c>
      <c r="K13" s="1279">
        <v>0</v>
      </c>
      <c r="L13" s="1280">
        <f>IFERROR(-K13/K8,0)</f>
        <v>0</v>
      </c>
      <c r="M13" s="1279">
        <v>0</v>
      </c>
      <c r="N13" s="1280">
        <f>IFERROR(-M13/M8,0)</f>
        <v>0</v>
      </c>
      <c r="O13" s="1281"/>
      <c r="P13" s="1282">
        <f>IFERROR(-O13/O8,0)</f>
        <v>0</v>
      </c>
      <c r="Q13" s="1283">
        <f>-R13*$Q$8</f>
        <v>0</v>
      </c>
      <c r="R13" s="1284"/>
      <c r="S13" s="1285"/>
      <c r="T13" s="1286"/>
      <c r="U13" s="1287">
        <f>IFERROR(Q13/'Rent Roll Summary'!$C$36,0)</f>
        <v>0</v>
      </c>
      <c r="V13" s="1288">
        <f>IFERROR(Q13/'Rent Roll Summary'!$T$36,0)</f>
        <v>0</v>
      </c>
      <c r="W13" s="964"/>
      <c r="X13" s="963"/>
      <c r="Y13" s="963"/>
      <c r="Z13" s="969"/>
      <c r="AA13" s="969"/>
      <c r="AB13" s="971"/>
      <c r="AC13" s="963"/>
      <c r="AD13" s="963"/>
    </row>
    <row r="14" spans="1:30" s="45" customFormat="1" ht="9.9499999999999993" customHeight="1">
      <c r="A14" s="598"/>
      <c r="B14" s="963"/>
      <c r="C14" s="963"/>
      <c r="D14" s="963"/>
      <c r="E14" s="1289" t="s">
        <v>1730</v>
      </c>
      <c r="F14" s="1290"/>
      <c r="G14" s="1290"/>
      <c r="H14" s="1290"/>
      <c r="I14" s="1291">
        <f>SUM(I11:I13)+I9</f>
        <v>0</v>
      </c>
      <c r="J14" s="1292">
        <f>IFERROR(-I14/I8,1)</f>
        <v>1</v>
      </c>
      <c r="K14" s="1291">
        <f>SUM(K11:K13)+K9</f>
        <v>0</v>
      </c>
      <c r="L14" s="1292">
        <f>IFERROR(-K14/K8,1)</f>
        <v>1</v>
      </c>
      <c r="M14" s="1291">
        <f>SUM(M11:M13)+M9</f>
        <v>0</v>
      </c>
      <c r="N14" s="1292">
        <f>IFERROR(-M14/M8,1)</f>
        <v>1</v>
      </c>
      <c r="O14" s="1293">
        <f>SUM(O11:O13)+O9</f>
        <v>-37037.4</v>
      </c>
      <c r="P14" s="1294">
        <f>IFERROR(-O14/O8,1)</f>
        <v>0.05</v>
      </c>
      <c r="Q14" s="1293">
        <f>SUM(Q11:Q13)+Q9</f>
        <v>-43914</v>
      </c>
      <c r="R14" s="1294">
        <f>IFERROR(-Q14/Q8,1)</f>
        <v>0.05</v>
      </c>
      <c r="S14" s="1291">
        <f>SUM(S11:S13)+S9</f>
        <v>0</v>
      </c>
      <c r="T14" s="1295"/>
      <c r="U14" s="1296">
        <f>IFERROR(Q14/'Rent Roll Summary'!$C$36,0)</f>
        <v>-1626.4444444444443</v>
      </c>
      <c r="V14" s="1293">
        <f>IFERROR(Q14/'Rent Roll Summary'!$T$36,0)</f>
        <v>-1.9367557554908705</v>
      </c>
      <c r="W14" s="964"/>
      <c r="X14" s="963"/>
      <c r="Y14" s="963"/>
      <c r="Z14" s="970"/>
      <c r="AA14" s="963"/>
      <c r="AB14" s="963"/>
      <c r="AC14" s="963"/>
      <c r="AD14" s="963"/>
    </row>
    <row r="15" spans="1:30" s="45" customFormat="1" ht="9.9499999999999993" hidden="1" customHeight="1">
      <c r="A15" s="598"/>
      <c r="B15" s="963"/>
      <c r="C15" s="963"/>
      <c r="D15" s="963"/>
      <c r="E15" s="1245" t="s">
        <v>1731</v>
      </c>
      <c r="F15" s="1239"/>
      <c r="G15" s="1239"/>
      <c r="H15" s="1245"/>
      <c r="I15" s="1297">
        <f>100%-J14</f>
        <v>0</v>
      </c>
      <c r="J15" s="1298"/>
      <c r="K15" s="1297">
        <f>100%-L14</f>
        <v>0</v>
      </c>
      <c r="L15" s="1298"/>
      <c r="M15" s="1297">
        <f>100%-N14</f>
        <v>0</v>
      </c>
      <c r="N15" s="1298"/>
      <c r="O15" s="1299">
        <f>100%-P14</f>
        <v>0.95</v>
      </c>
      <c r="P15" s="1300"/>
      <c r="Q15" s="1299">
        <f>100%-R14</f>
        <v>0.95</v>
      </c>
      <c r="R15" s="1300"/>
      <c r="S15" s="1297" t="str">
        <f>IFERROR(1+S14/S8,"")</f>
        <v/>
      </c>
      <c r="T15" s="1251"/>
      <c r="U15" s="1269"/>
      <c r="V15" s="1253"/>
      <c r="W15" s="964"/>
      <c r="X15" s="963"/>
      <c r="Y15" s="963"/>
      <c r="Z15" s="963"/>
      <c r="AA15" s="963"/>
      <c r="AB15" s="963"/>
      <c r="AC15" s="963"/>
      <c r="AD15" s="963"/>
    </row>
    <row r="16" spans="1:30" s="45" customFormat="1" ht="9.9499999999999993" customHeight="1">
      <c r="A16" s="598"/>
      <c r="B16" s="963"/>
      <c r="C16" s="963"/>
      <c r="D16" s="963"/>
      <c r="E16" s="1258" t="s">
        <v>1732</v>
      </c>
      <c r="F16" s="1258"/>
      <c r="G16" s="1258"/>
      <c r="H16" s="1258"/>
      <c r="I16" s="1301">
        <f>+I8+I14</f>
        <v>0</v>
      </c>
      <c r="J16" s="1261"/>
      <c r="K16" s="1301">
        <f>+K8+K14</f>
        <v>0</v>
      </c>
      <c r="L16" s="1261"/>
      <c r="M16" s="1301">
        <f>+M8+M14</f>
        <v>0</v>
      </c>
      <c r="N16" s="1261"/>
      <c r="O16" s="1261">
        <f>+O8+O14</f>
        <v>703710.6</v>
      </c>
      <c r="P16" s="1262"/>
      <c r="Q16" s="1261">
        <f>+Q8+Q14</f>
        <v>834366</v>
      </c>
      <c r="R16" s="1263"/>
      <c r="S16" s="1264">
        <f>+S8+S14</f>
        <v>0</v>
      </c>
      <c r="T16" s="1302"/>
      <c r="U16" s="1265">
        <f>IFERROR(Q16/'Rent Roll Summary'!$C$36,0)</f>
        <v>30902.444444444445</v>
      </c>
      <c r="V16" s="1266">
        <f>IFERROR(Q16/'Rent Roll Summary'!$T$36,0)</f>
        <v>36.798359354326543</v>
      </c>
      <c r="W16" s="964"/>
      <c r="X16" s="963"/>
      <c r="Y16" s="963"/>
      <c r="Z16" s="963"/>
      <c r="AA16" s="963"/>
      <c r="AB16" s="963"/>
      <c r="AC16" s="963"/>
      <c r="AD16" s="963"/>
    </row>
    <row r="17" spans="1:30" s="45" customFormat="1" ht="9.9499999999999993" customHeight="1">
      <c r="A17" s="598"/>
      <c r="B17" s="963"/>
      <c r="C17" s="963"/>
      <c r="D17" s="963"/>
      <c r="E17" s="1245" t="s">
        <v>1733</v>
      </c>
      <c r="F17" s="1245"/>
      <c r="G17" s="1245"/>
      <c r="H17" s="1245"/>
      <c r="I17" s="1303"/>
      <c r="J17" s="1304"/>
      <c r="K17" s="1303"/>
      <c r="L17" s="1304"/>
      <c r="M17" s="1303"/>
      <c r="N17" s="1304"/>
      <c r="O17" s="1304"/>
      <c r="P17" s="1305"/>
      <c r="Q17" s="1304"/>
      <c r="R17" s="1242"/>
      <c r="S17" s="1241"/>
      <c r="T17" s="1306"/>
      <c r="U17" s="1307"/>
      <c r="V17" s="1308"/>
      <c r="W17" s="964"/>
      <c r="X17" s="963"/>
      <c r="Y17" s="963"/>
      <c r="Z17" s="963"/>
      <c r="AA17" s="963"/>
      <c r="AB17" s="963"/>
      <c r="AC17" s="963"/>
      <c r="AD17" s="963"/>
    </row>
    <row r="18" spans="1:30" s="45" customFormat="1" ht="9.9499999999999993" hidden="1" customHeight="1">
      <c r="A18" s="598"/>
      <c r="B18" s="963"/>
      <c r="C18" s="963"/>
      <c r="D18" s="963"/>
      <c r="E18" s="1585" t="s">
        <v>771</v>
      </c>
      <c r="F18" s="1585"/>
      <c r="G18" s="1585"/>
      <c r="H18" s="1585"/>
      <c r="I18" s="1274">
        <v>0</v>
      </c>
      <c r="J18" s="1275"/>
      <c r="K18" s="1274">
        <v>0</v>
      </c>
      <c r="L18" s="1275"/>
      <c r="M18" s="1274">
        <v>0</v>
      </c>
      <c r="N18" s="1275"/>
      <c r="O18" s="1276"/>
      <c r="P18" s="1272"/>
      <c r="Q18" s="1276">
        <f>O18</f>
        <v>0</v>
      </c>
      <c r="R18" s="1249"/>
      <c r="S18" s="1257"/>
      <c r="T18" s="1251"/>
      <c r="U18" s="1252">
        <f>IFERROR(Q18/'Rent Roll Summary'!$C$36,0)</f>
        <v>0</v>
      </c>
      <c r="V18" s="1253">
        <f>IFERROR(Q18/'Rent Roll Summary'!$T$36,0)</f>
        <v>0</v>
      </c>
      <c r="W18" s="964"/>
      <c r="X18" s="963"/>
      <c r="Y18" s="963"/>
      <c r="Z18" s="963"/>
      <c r="AA18" s="963"/>
      <c r="AB18" s="963"/>
      <c r="AC18" s="963"/>
      <c r="AD18" s="963"/>
    </row>
    <row r="19" spans="1:30" s="45" customFormat="1" ht="9.9499999999999993" customHeight="1">
      <c r="A19" s="598"/>
      <c r="B19" s="963"/>
      <c r="C19" s="963"/>
      <c r="D19" s="963"/>
      <c r="E19" s="1584" t="s">
        <v>772</v>
      </c>
      <c r="F19" s="1584"/>
      <c r="G19" s="1584"/>
      <c r="H19" s="1584"/>
      <c r="I19" s="1279">
        <v>0</v>
      </c>
      <c r="J19" s="1309"/>
      <c r="K19" s="1279">
        <v>0</v>
      </c>
      <c r="L19" s="1309"/>
      <c r="M19" s="1279">
        <v>0</v>
      </c>
      <c r="N19" s="1309"/>
      <c r="O19" s="1281">
        <v>5820</v>
      </c>
      <c r="P19" s="1310"/>
      <c r="Q19" s="1281">
        <f>O19</f>
        <v>5820</v>
      </c>
      <c r="R19" s="1311"/>
      <c r="S19" s="1312"/>
      <c r="T19" s="1286">
        <v>1</v>
      </c>
      <c r="U19" s="1313">
        <f>IFERROR(Q19/'Rent Roll Summary'!$C$36,0)</f>
        <v>215.55555555555554</v>
      </c>
      <c r="V19" s="1288">
        <f>IFERROR(Q19/'Rent Roll Summary'!$T$36,0)</f>
        <v>0.25668166181529506</v>
      </c>
      <c r="W19" s="964"/>
      <c r="X19" s="963"/>
      <c r="Y19" s="963"/>
      <c r="Z19" s="963"/>
      <c r="AA19" s="963"/>
      <c r="AB19" s="963"/>
      <c r="AC19" s="963"/>
      <c r="AD19" s="963"/>
    </row>
    <row r="20" spans="1:30" s="48" customFormat="1" ht="9.9499999999999993" customHeight="1">
      <c r="A20" s="634"/>
      <c r="B20" s="963"/>
      <c r="C20" s="963"/>
      <c r="D20" s="963"/>
      <c r="E20" s="1314" t="s">
        <v>1734</v>
      </c>
      <c r="F20" s="1314"/>
      <c r="G20" s="1314"/>
      <c r="H20" s="1314"/>
      <c r="I20" s="1315">
        <f>SUM(I18:I19)</f>
        <v>0</v>
      </c>
      <c r="J20" s="1316"/>
      <c r="K20" s="1315">
        <f>SUM(K18:K19)</f>
        <v>0</v>
      </c>
      <c r="L20" s="1316"/>
      <c r="M20" s="1315">
        <f>SUM(M18:M19)</f>
        <v>0</v>
      </c>
      <c r="N20" s="1316"/>
      <c r="O20" s="1316">
        <f>SUM(O18:O19)</f>
        <v>5820</v>
      </c>
      <c r="P20" s="1317"/>
      <c r="Q20" s="1316">
        <f>SUM(Q18:Q19)</f>
        <v>5820</v>
      </c>
      <c r="R20" s="1317"/>
      <c r="S20" s="1315">
        <f>SUM(S18:S19)</f>
        <v>0</v>
      </c>
      <c r="T20" s="1316"/>
      <c r="U20" s="1318">
        <f>IFERROR(Q20/'Rent Roll Summary'!$C$36,0)</f>
        <v>215.55555555555554</v>
      </c>
      <c r="V20" s="1319">
        <f>IFERROR(Q20/'Rent Roll Summary'!$T$36,0)</f>
        <v>0.25668166181529506</v>
      </c>
      <c r="W20" s="964"/>
      <c r="X20" s="963"/>
      <c r="Y20" s="963"/>
      <c r="Z20" s="972"/>
      <c r="AA20" s="972"/>
      <c r="AB20" s="972"/>
      <c r="AC20" s="972"/>
      <c r="AD20" s="972"/>
    </row>
    <row r="21" spans="1:30" s="45" customFormat="1" ht="9.9499999999999993" customHeight="1">
      <c r="A21" s="598"/>
      <c r="B21" s="963"/>
      <c r="C21" s="963"/>
      <c r="D21" s="963"/>
      <c r="E21" s="1289" t="s">
        <v>1735</v>
      </c>
      <c r="F21" s="1289"/>
      <c r="G21" s="1289"/>
      <c r="H21" s="1289"/>
      <c r="I21" s="1320">
        <f>I16+I20</f>
        <v>0</v>
      </c>
      <c r="J21" s="1321"/>
      <c r="K21" s="1320">
        <f>K16+K20</f>
        <v>0</v>
      </c>
      <c r="L21" s="1321"/>
      <c r="M21" s="1320">
        <f>M16+M20</f>
        <v>0</v>
      </c>
      <c r="N21" s="1321"/>
      <c r="O21" s="1321">
        <f>O16+O20</f>
        <v>709530.6</v>
      </c>
      <c r="P21" s="1322"/>
      <c r="Q21" s="1321">
        <f>Q16+Q20</f>
        <v>840186</v>
      </c>
      <c r="R21" s="1322"/>
      <c r="S21" s="1320">
        <f>S16+S20</f>
        <v>0</v>
      </c>
      <c r="T21" s="1321"/>
      <c r="U21" s="1323">
        <f>IFERROR(Q21/'Rent Roll Summary'!$C$36,0)</f>
        <v>31118</v>
      </c>
      <c r="V21" s="1324">
        <f>IFERROR(Q21/'Rent Roll Summary'!$T$36,0)</f>
        <v>37.055041016141836</v>
      </c>
      <c r="W21" s="964"/>
      <c r="X21" s="963"/>
      <c r="Y21" s="963"/>
      <c r="Z21" s="963"/>
      <c r="AA21" s="963"/>
      <c r="AB21" s="963"/>
      <c r="AC21" s="963"/>
      <c r="AD21" s="963"/>
    </row>
    <row r="22" spans="1:30" s="48" customFormat="1" ht="9.9499999999999993" customHeight="1">
      <c r="A22" s="634"/>
      <c r="B22" s="972"/>
      <c r="C22" s="963"/>
      <c r="D22" s="963"/>
      <c r="E22" s="1325"/>
      <c r="F22" s="1325"/>
      <c r="G22" s="1325"/>
      <c r="H22" s="1325"/>
      <c r="I22" s="1326"/>
      <c r="J22" s="1327"/>
      <c r="K22" s="1326"/>
      <c r="L22" s="1327"/>
      <c r="M22" s="1326"/>
      <c r="N22" s="1327"/>
      <c r="O22" s="1326"/>
      <c r="P22" s="1327"/>
      <c r="Q22" s="1328"/>
      <c r="R22" s="1327"/>
      <c r="S22" s="1327"/>
      <c r="T22" s="1329"/>
      <c r="U22" s="1326"/>
      <c r="V22" s="1326"/>
      <c r="W22" s="964"/>
      <c r="X22" s="963"/>
      <c r="Y22" s="972"/>
      <c r="Z22" s="972"/>
      <c r="AA22" s="972"/>
      <c r="AB22" s="972"/>
      <c r="AC22" s="972"/>
      <c r="AD22" s="972"/>
    </row>
    <row r="23" spans="1:30" s="45" customFormat="1" ht="9.9499999999999993" customHeight="1">
      <c r="A23" s="598"/>
      <c r="B23" s="963"/>
      <c r="C23" s="963"/>
      <c r="D23" s="963"/>
      <c r="E23" s="1230" t="s">
        <v>1736</v>
      </c>
      <c r="F23" s="1230"/>
      <c r="G23" s="1230"/>
      <c r="H23" s="1230"/>
      <c r="I23" s="1330" t="str">
        <f>I4</f>
        <v>Prior 3</v>
      </c>
      <c r="J23" s="1236"/>
      <c r="K23" s="1330" t="str">
        <f>K4</f>
        <v>Prior 2</v>
      </c>
      <c r="L23" s="1236"/>
      <c r="M23" s="1330" t="str">
        <f>M4</f>
        <v>Prior 1</v>
      </c>
      <c r="N23" s="1236"/>
      <c r="O23" s="1331" t="str">
        <f>O4</f>
        <v>Current</v>
      </c>
      <c r="P23" s="1236"/>
      <c r="Q23" s="1331" t="str">
        <f>Q4</f>
        <v>Pro Forma</v>
      </c>
      <c r="R23" s="1236"/>
      <c r="S23" s="1236"/>
      <c r="T23" s="1237" t="s">
        <v>1721</v>
      </c>
      <c r="U23" s="1237" t="s">
        <v>1722</v>
      </c>
      <c r="V23" s="1237" t="s">
        <v>1723</v>
      </c>
      <c r="W23" s="964"/>
      <c r="X23" s="963"/>
      <c r="Y23" s="963"/>
      <c r="Z23" s="963"/>
      <c r="AA23" s="963"/>
      <c r="AB23" s="963"/>
      <c r="AC23" s="963"/>
      <c r="AD23" s="963"/>
    </row>
    <row r="24" spans="1:30" s="63" customFormat="1" ht="9.9499999999999993" customHeight="1">
      <c r="A24" s="635"/>
      <c r="B24" s="973"/>
      <c r="C24" s="973"/>
      <c r="D24" s="973"/>
      <c r="E24" s="1245" t="s">
        <v>1737</v>
      </c>
      <c r="F24" s="1245"/>
      <c r="G24" s="1245"/>
      <c r="H24" s="1245"/>
      <c r="I24" s="1246">
        <v>0</v>
      </c>
      <c r="J24" s="1332"/>
      <c r="K24" s="1246">
        <v>0</v>
      </c>
      <c r="L24" s="1332"/>
      <c r="M24" s="1246">
        <v>0</v>
      </c>
      <c r="N24" s="1332"/>
      <c r="O24" s="1551">
        <f>ROUND(OS_TaxRate*Input!C9,0)</f>
        <v>105655</v>
      </c>
      <c r="P24" s="1332"/>
      <c r="Q24" s="1551">
        <f>ROUND(OS_TaxRate*Input!C9,0)</f>
        <v>105655</v>
      </c>
      <c r="R24" s="1333"/>
      <c r="S24" s="1257"/>
      <c r="T24" s="1251">
        <v>2</v>
      </c>
      <c r="U24" s="1252">
        <f>IFERROR(Q24/'Rent Roll Summary'!$C$36,0)</f>
        <v>3913.1481481481483</v>
      </c>
      <c r="V24" s="1253">
        <f>IFERROR(Q24/'Rent Roll Summary'!$T$36,0)</f>
        <v>4.6597424362706183</v>
      </c>
      <c r="W24" s="964"/>
      <c r="X24" s="973"/>
      <c r="Y24" s="973"/>
      <c r="Z24" s="973"/>
      <c r="AA24" s="973"/>
      <c r="AB24" s="973"/>
      <c r="AC24" s="973"/>
      <c r="AD24" s="973"/>
    </row>
    <row r="25" spans="1:30" s="63" customFormat="1" ht="9.9499999999999993" customHeight="1">
      <c r="A25" s="635"/>
      <c r="B25" s="973"/>
      <c r="C25" s="973"/>
      <c r="D25" s="973"/>
      <c r="E25" s="1334" t="s">
        <v>1738</v>
      </c>
      <c r="F25" s="1334"/>
      <c r="G25" s="1334"/>
      <c r="H25" s="1334"/>
      <c r="I25" s="1285">
        <v>0</v>
      </c>
      <c r="J25" s="1335"/>
      <c r="K25" s="1285">
        <v>0</v>
      </c>
      <c r="L25" s="1335"/>
      <c r="M25" s="1285">
        <v>0</v>
      </c>
      <c r="N25" s="1335"/>
      <c r="O25" s="1281">
        <f>200*'Pricing Detail'!G6+'Pricing Detail'!G9</f>
        <v>28074</v>
      </c>
      <c r="P25" s="1335"/>
      <c r="Q25" s="1281">
        <f t="shared" ref="Q25:Q37" si="0">O25</f>
        <v>28074</v>
      </c>
      <c r="R25" s="1336"/>
      <c r="S25" s="1312"/>
      <c r="T25" s="1286">
        <v>3</v>
      </c>
      <c r="U25" s="1313">
        <f>IFERROR(Q25/'Rent Roll Summary'!$C$36,0)</f>
        <v>1039.7777777777778</v>
      </c>
      <c r="V25" s="1288">
        <f>IFERROR(Q25/'Rent Roll Summary'!$T$36,0)</f>
        <v>1.2381582429214077</v>
      </c>
      <c r="W25" s="964"/>
      <c r="X25" s="973"/>
      <c r="Y25" s="973"/>
      <c r="Z25" s="973"/>
      <c r="AA25" s="973"/>
      <c r="AB25" s="973"/>
      <c r="AC25" s="973"/>
      <c r="AD25" s="973"/>
    </row>
    <row r="26" spans="1:30" s="63" customFormat="1" ht="9.9499999999999993" hidden="1" customHeight="1">
      <c r="A26" s="635"/>
      <c r="B26" s="973"/>
      <c r="C26" s="1586" t="s">
        <v>77</v>
      </c>
      <c r="D26" s="974"/>
      <c r="E26" s="1585" t="s">
        <v>784</v>
      </c>
      <c r="F26" s="1585"/>
      <c r="G26" s="1585"/>
      <c r="H26" s="1585"/>
      <c r="I26" s="1274">
        <v>0</v>
      </c>
      <c r="J26" s="1337"/>
      <c r="K26" s="1274">
        <v>0</v>
      </c>
      <c r="L26" s="1337"/>
      <c r="M26" s="1274">
        <v>0</v>
      </c>
      <c r="N26" s="1337"/>
      <c r="O26" s="1276"/>
      <c r="P26" s="1332"/>
      <c r="Q26" s="1276">
        <f t="shared" si="0"/>
        <v>0</v>
      </c>
      <c r="R26" s="1333"/>
      <c r="S26" s="1257"/>
      <c r="T26" s="1251"/>
      <c r="U26" s="1252">
        <f>IFERROR(Q26/'Rent Roll Summary'!$C$36,0)</f>
        <v>0</v>
      </c>
      <c r="V26" s="1253">
        <f>IFERROR(Q26/'Rent Roll Summary'!$T$36,0)</f>
        <v>0</v>
      </c>
      <c r="W26" s="964"/>
      <c r="X26" s="973"/>
      <c r="Y26" s="973"/>
      <c r="Z26" s="973"/>
      <c r="AA26" s="973"/>
      <c r="AB26" s="973"/>
      <c r="AC26" s="973"/>
      <c r="AD26" s="973"/>
    </row>
    <row r="27" spans="1:30" s="63" customFormat="1" ht="9.9499999999999993" customHeight="1">
      <c r="A27" s="635"/>
      <c r="B27" s="973"/>
      <c r="C27" s="1587"/>
      <c r="D27" s="973"/>
      <c r="E27" s="1585" t="s">
        <v>1935</v>
      </c>
      <c r="F27" s="1585"/>
      <c r="G27" s="1585"/>
      <c r="H27" s="1585"/>
      <c r="I27" s="1274">
        <v>0</v>
      </c>
      <c r="J27" s="1337"/>
      <c r="K27" s="1274">
        <v>0</v>
      </c>
      <c r="L27" s="1337"/>
      <c r="M27" s="1274">
        <v>0</v>
      </c>
      <c r="N27" s="1337"/>
      <c r="O27" s="1276">
        <f>18756*1.33</f>
        <v>24945.48</v>
      </c>
      <c r="P27" s="1332"/>
      <c r="Q27" s="1276">
        <f t="shared" si="0"/>
        <v>24945.48</v>
      </c>
      <c r="R27" s="1333"/>
      <c r="S27" s="1257"/>
      <c r="T27" s="1251">
        <v>4</v>
      </c>
      <c r="U27" s="1252">
        <f>IFERROR(Q27/'Rent Roll Summary'!$C$36,0)</f>
        <v>923.90666666666664</v>
      </c>
      <c r="V27" s="1253">
        <f>IFERROR(Q27/'Rent Roll Summary'!$T$36,0)</f>
        <v>1.1001799417835405</v>
      </c>
      <c r="W27" s="964"/>
      <c r="X27" s="973"/>
      <c r="Y27" s="973"/>
      <c r="Z27" s="973"/>
      <c r="AA27" s="973"/>
      <c r="AB27" s="973"/>
      <c r="AC27" s="973"/>
      <c r="AD27" s="973"/>
    </row>
    <row r="28" spans="1:30" s="63" customFormat="1" ht="9.9499999999999993" customHeight="1">
      <c r="A28" s="635"/>
      <c r="B28" s="973"/>
      <c r="C28" s="1588"/>
      <c r="D28" s="975"/>
      <c r="E28" s="1584" t="s">
        <v>788</v>
      </c>
      <c r="F28" s="1584"/>
      <c r="G28" s="1584"/>
      <c r="H28" s="1584"/>
      <c r="I28" s="1279">
        <v>0</v>
      </c>
      <c r="J28" s="1338"/>
      <c r="K28" s="1279">
        <v>0</v>
      </c>
      <c r="L28" s="1338"/>
      <c r="M28" s="1279">
        <v>0</v>
      </c>
      <c r="N28" s="1338"/>
      <c r="O28" s="1281">
        <f>2240*1.33</f>
        <v>2979.2000000000003</v>
      </c>
      <c r="P28" s="1335"/>
      <c r="Q28" s="1281">
        <f t="shared" si="0"/>
        <v>2979.2000000000003</v>
      </c>
      <c r="R28" s="1336"/>
      <c r="S28" s="1312"/>
      <c r="T28" s="1286">
        <v>5</v>
      </c>
      <c r="U28" s="1313">
        <f>IFERROR(Q28/'Rent Roll Summary'!$C$36,0)</f>
        <v>110.34074074074076</v>
      </c>
      <c r="V28" s="1288">
        <f>IFERROR(Q28/'Rent Roll Summary'!$T$36,0)</f>
        <v>0.13139278468730706</v>
      </c>
      <c r="W28" s="964"/>
      <c r="X28" s="973"/>
      <c r="Y28" s="973"/>
      <c r="Z28" s="973"/>
      <c r="AA28" s="973"/>
      <c r="AB28" s="973"/>
      <c r="AC28" s="973"/>
      <c r="AD28" s="973"/>
    </row>
    <row r="29" spans="1:30" s="63" customFormat="1" ht="9.9499999999999993" customHeight="1">
      <c r="A29" s="635"/>
      <c r="B29" s="973"/>
      <c r="C29" s="1586" t="s">
        <v>1739</v>
      </c>
      <c r="D29" s="974"/>
      <c r="E29" s="1585" t="s">
        <v>790</v>
      </c>
      <c r="F29" s="1585"/>
      <c r="G29" s="1585"/>
      <c r="H29" s="1585"/>
      <c r="I29" s="1274">
        <v>0</v>
      </c>
      <c r="J29" s="1337"/>
      <c r="K29" s="1274">
        <v>0</v>
      </c>
      <c r="L29" s="1337"/>
      <c r="M29" s="1274">
        <v>0</v>
      </c>
      <c r="N29" s="1337"/>
      <c r="O29" s="1276">
        <f>13308*1.33</f>
        <v>17699.64</v>
      </c>
      <c r="P29" s="1332"/>
      <c r="Q29" s="1276">
        <f t="shared" si="0"/>
        <v>17699.64</v>
      </c>
      <c r="R29" s="1333"/>
      <c r="S29" s="1257"/>
      <c r="T29" s="1251">
        <v>6</v>
      </c>
      <c r="U29" s="1252">
        <f>IFERROR(Q29/'Rent Roll Summary'!$C$36,0)</f>
        <v>655.54222222222222</v>
      </c>
      <c r="V29" s="1253">
        <f>IFERROR(Q29/'Rent Roll Summary'!$T$36,0)</f>
        <v>0.78061391902619737</v>
      </c>
      <c r="W29" s="964"/>
      <c r="X29" s="973"/>
      <c r="Y29" s="973"/>
      <c r="Z29" s="973"/>
      <c r="AA29" s="973"/>
      <c r="AB29" s="973"/>
      <c r="AC29" s="973"/>
      <c r="AD29" s="973"/>
    </row>
    <row r="30" spans="1:30" s="63" customFormat="1" ht="9.9499999999999993" customHeight="1">
      <c r="A30" s="635"/>
      <c r="B30" s="973"/>
      <c r="C30" s="1587"/>
      <c r="D30" s="973"/>
      <c r="E30" s="1585" t="s">
        <v>791</v>
      </c>
      <c r="F30" s="1585"/>
      <c r="G30" s="1585"/>
      <c r="H30" s="1585"/>
      <c r="I30" s="1274">
        <v>0</v>
      </c>
      <c r="J30" s="1337"/>
      <c r="K30" s="1274">
        <v>0</v>
      </c>
      <c r="L30" s="1337"/>
      <c r="M30" s="1274">
        <v>0</v>
      </c>
      <c r="N30" s="1337"/>
      <c r="O30" s="1276">
        <f>750*'Pricing Detail'!G6</f>
        <v>20250</v>
      </c>
      <c r="P30" s="1332"/>
      <c r="Q30" s="1276">
        <f t="shared" si="0"/>
        <v>20250</v>
      </c>
      <c r="R30" s="1333"/>
      <c r="S30" s="1257"/>
      <c r="T30" s="1251">
        <v>7</v>
      </c>
      <c r="U30" s="1252">
        <f>IFERROR(Q30/'Rent Roll Summary'!$C$36,0)</f>
        <v>750</v>
      </c>
      <c r="V30" s="1253">
        <f>IFERROR(Q30/'Rent Roll Summary'!$T$36,0)</f>
        <v>0.89309341095527917</v>
      </c>
      <c r="W30" s="964"/>
      <c r="X30" s="973"/>
      <c r="Y30" s="973"/>
      <c r="Z30" s="973"/>
      <c r="AA30" s="973"/>
      <c r="AB30" s="973"/>
      <c r="AC30" s="973"/>
      <c r="AD30" s="973"/>
    </row>
    <row r="31" spans="1:30" s="63" customFormat="1" ht="9.9499999999999993" customHeight="1">
      <c r="A31" s="635"/>
      <c r="B31" s="973"/>
      <c r="C31" s="1587"/>
      <c r="D31" s="973"/>
      <c r="E31" s="1585" t="s">
        <v>792</v>
      </c>
      <c r="F31" s="1585"/>
      <c r="G31" s="1585"/>
      <c r="H31" s="1585"/>
      <c r="I31" s="1274">
        <v>0</v>
      </c>
      <c r="J31" s="1337"/>
      <c r="K31" s="1274">
        <v>0</v>
      </c>
      <c r="L31" s="1337"/>
      <c r="M31" s="1274">
        <v>0</v>
      </c>
      <c r="N31" s="1337"/>
      <c r="O31" s="1276">
        <v>4800</v>
      </c>
      <c r="P31" s="1332"/>
      <c r="Q31" s="1276">
        <f t="shared" si="0"/>
        <v>4800</v>
      </c>
      <c r="R31" s="1333"/>
      <c r="S31" s="1257"/>
      <c r="T31" s="1251">
        <v>8</v>
      </c>
      <c r="U31" s="1252">
        <f>IFERROR(Q31/'Rent Roll Summary'!$C$36,0)</f>
        <v>177.77777777777777</v>
      </c>
      <c r="V31" s="1253">
        <f>IFERROR(Q31/'Rent Roll Summary'!$T$36,0)</f>
        <v>0.21169621593014024</v>
      </c>
      <c r="W31" s="964"/>
      <c r="X31" s="973"/>
      <c r="Y31" s="973"/>
      <c r="Z31" s="973"/>
      <c r="AA31" s="973"/>
      <c r="AB31" s="973"/>
      <c r="AC31" s="973"/>
      <c r="AD31" s="973"/>
    </row>
    <row r="32" spans="1:30" s="63" customFormat="1" ht="9.9499999999999993" hidden="1" customHeight="1">
      <c r="A32" s="635"/>
      <c r="B32" s="973"/>
      <c r="C32" s="1587"/>
      <c r="D32" s="973"/>
      <c r="E32" s="1585" t="s">
        <v>793</v>
      </c>
      <c r="F32" s="1585"/>
      <c r="G32" s="1585"/>
      <c r="H32" s="1585"/>
      <c r="I32" s="1274">
        <v>0</v>
      </c>
      <c r="J32" s="1337"/>
      <c r="K32" s="1274">
        <v>0</v>
      </c>
      <c r="L32" s="1337"/>
      <c r="M32" s="1274">
        <v>0</v>
      </c>
      <c r="N32" s="1337"/>
      <c r="O32" s="1276"/>
      <c r="P32" s="1332"/>
      <c r="Q32" s="1276">
        <f t="shared" si="0"/>
        <v>0</v>
      </c>
      <c r="R32" s="1333"/>
      <c r="S32" s="1257"/>
      <c r="T32" s="1251"/>
      <c r="U32" s="1252">
        <f>IFERROR(Q32/'Rent Roll Summary'!$C$36,0)</f>
        <v>0</v>
      </c>
      <c r="V32" s="1253">
        <f>IFERROR(Q32/'Rent Roll Summary'!$T$36,0)</f>
        <v>0</v>
      </c>
      <c r="W32" s="964"/>
      <c r="X32" s="973"/>
      <c r="Y32" s="973"/>
      <c r="Z32" s="973"/>
      <c r="AA32" s="973"/>
      <c r="AB32" s="973"/>
      <c r="AC32" s="973"/>
      <c r="AD32" s="973"/>
    </row>
    <row r="33" spans="1:30" s="63" customFormat="1" ht="9.9499999999999993" customHeight="1">
      <c r="A33" s="635"/>
      <c r="B33" s="973"/>
      <c r="C33" s="1587"/>
      <c r="D33" s="973"/>
      <c r="E33" s="1585" t="s">
        <v>1933</v>
      </c>
      <c r="F33" s="1585"/>
      <c r="G33" s="1585"/>
      <c r="H33" s="1585"/>
      <c r="I33" s="1274">
        <v>0</v>
      </c>
      <c r="J33" s="1337"/>
      <c r="K33" s="1274">
        <v>0</v>
      </c>
      <c r="L33" s="1337"/>
      <c r="M33" s="1274">
        <v>0</v>
      </c>
      <c r="N33" s="1337"/>
      <c r="O33" s="1276">
        <v>700</v>
      </c>
      <c r="P33" s="1332"/>
      <c r="Q33" s="1276">
        <f t="shared" si="0"/>
        <v>700</v>
      </c>
      <c r="R33" s="1333"/>
      <c r="S33" s="1257"/>
      <c r="T33" s="1251">
        <v>9</v>
      </c>
      <c r="U33" s="1252">
        <f>IFERROR(Q33/'Rent Roll Summary'!$C$36,0)</f>
        <v>25.925925925925927</v>
      </c>
      <c r="V33" s="1253">
        <f>IFERROR(Q33/'Rent Roll Summary'!$T$36,0)</f>
        <v>3.0872364823145454E-2</v>
      </c>
      <c r="W33" s="964"/>
      <c r="X33" s="973"/>
      <c r="Y33" s="973"/>
      <c r="Z33" s="973"/>
      <c r="AA33" s="973"/>
      <c r="AB33" s="973"/>
      <c r="AC33" s="973"/>
      <c r="AD33" s="973"/>
    </row>
    <row r="34" spans="1:30" s="63" customFormat="1" ht="9.9499999999999993" customHeight="1">
      <c r="A34" s="635"/>
      <c r="B34" s="973"/>
      <c r="C34" s="1587"/>
      <c r="D34" s="973"/>
      <c r="E34" s="1585" t="s">
        <v>1934</v>
      </c>
      <c r="F34" s="1585"/>
      <c r="G34" s="1585"/>
      <c r="H34" s="1585"/>
      <c r="I34" s="1274">
        <v>0</v>
      </c>
      <c r="J34" s="1337"/>
      <c r="K34" s="1274">
        <v>0</v>
      </c>
      <c r="L34" s="1337"/>
      <c r="M34" s="1274">
        <v>0</v>
      </c>
      <c r="N34" s="1337"/>
      <c r="O34" s="1276">
        <v>24000</v>
      </c>
      <c r="P34" s="1332"/>
      <c r="Q34" s="1276">
        <f t="shared" si="0"/>
        <v>24000</v>
      </c>
      <c r="R34" s="1333"/>
      <c r="S34" s="1257"/>
      <c r="T34" s="1251">
        <v>10</v>
      </c>
      <c r="U34" s="1252">
        <f>IFERROR(Q34/'Rent Roll Summary'!$C$36,0)</f>
        <v>888.88888888888891</v>
      </c>
      <c r="V34" s="1253">
        <f>IFERROR(Q34/'Rent Roll Summary'!$T$36,0)</f>
        <v>1.0584810796507012</v>
      </c>
      <c r="W34" s="964"/>
      <c r="X34" s="973"/>
      <c r="Y34" s="973"/>
      <c r="Z34" s="973"/>
      <c r="AA34" s="973"/>
      <c r="AB34" s="973"/>
      <c r="AC34" s="973"/>
      <c r="AD34" s="973"/>
    </row>
    <row r="35" spans="1:30" s="63" customFormat="1" ht="9.9499999999999993" customHeight="1">
      <c r="A35" s="635"/>
      <c r="B35" s="973"/>
      <c r="C35" s="1587"/>
      <c r="D35" s="973"/>
      <c r="E35" s="1585" t="s">
        <v>797</v>
      </c>
      <c r="F35" s="1585"/>
      <c r="G35" s="1585"/>
      <c r="H35" s="1585"/>
      <c r="I35" s="1274">
        <v>0</v>
      </c>
      <c r="J35" s="1337"/>
      <c r="K35" s="1274">
        <v>0</v>
      </c>
      <c r="L35" s="1337"/>
      <c r="M35" s="1274">
        <v>0</v>
      </c>
      <c r="N35" s="1337"/>
      <c r="O35" s="1276">
        <f>80*'Pricing Detail'!G6</f>
        <v>2160</v>
      </c>
      <c r="P35" s="1332"/>
      <c r="Q35" s="1276">
        <f t="shared" si="0"/>
        <v>2160</v>
      </c>
      <c r="R35" s="1333"/>
      <c r="S35" s="1257"/>
      <c r="T35" s="1251">
        <v>11</v>
      </c>
      <c r="U35" s="1252">
        <f>IFERROR(Q35/'Rent Roll Summary'!$C$36,0)</f>
        <v>80</v>
      </c>
      <c r="V35" s="1253">
        <f>IFERROR(Q35/'Rent Roll Summary'!$T$36,0)</f>
        <v>9.5263297168563119E-2</v>
      </c>
      <c r="W35" s="964"/>
      <c r="X35" s="973"/>
      <c r="Y35" s="973"/>
      <c r="Z35" s="973"/>
      <c r="AA35" s="973"/>
      <c r="AB35" s="973"/>
      <c r="AC35" s="973"/>
      <c r="AD35" s="973"/>
    </row>
    <row r="36" spans="1:30" s="63" customFormat="1" ht="9.9499999999999993" hidden="1" customHeight="1">
      <c r="A36" s="635"/>
      <c r="B36" s="973"/>
      <c r="C36" s="1588"/>
      <c r="D36" s="975"/>
      <c r="E36" s="1584"/>
      <c r="F36" s="1584"/>
      <c r="G36" s="1584"/>
      <c r="H36" s="1584"/>
      <c r="I36" s="1279">
        <v>0</v>
      </c>
      <c r="J36" s="1338"/>
      <c r="K36" s="1279">
        <v>0</v>
      </c>
      <c r="L36" s="1338"/>
      <c r="M36" s="1279">
        <v>0</v>
      </c>
      <c r="N36" s="1338"/>
      <c r="O36" s="1281"/>
      <c r="P36" s="1335"/>
      <c r="Q36" s="1281">
        <f t="shared" si="0"/>
        <v>0</v>
      </c>
      <c r="R36" s="1336"/>
      <c r="S36" s="1312"/>
      <c r="T36" s="1286"/>
      <c r="U36" s="1313">
        <f>IFERROR(Q36/'Rent Roll Summary'!$C$36,0)</f>
        <v>0</v>
      </c>
      <c r="V36" s="1288">
        <f>IFERROR(Q36/'Rent Roll Summary'!$T$36,0)</f>
        <v>0</v>
      </c>
      <c r="W36" s="964"/>
      <c r="X36" s="973"/>
      <c r="Y36" s="973"/>
      <c r="Z36" s="973"/>
      <c r="AA36" s="973"/>
      <c r="AB36" s="973"/>
      <c r="AC36" s="973"/>
      <c r="AD36" s="973"/>
    </row>
    <row r="37" spans="1:30" s="63" customFormat="1" ht="9.9499999999999993" customHeight="1">
      <c r="A37" s="635"/>
      <c r="B37" s="973"/>
      <c r="C37" s="973"/>
      <c r="D37" s="976"/>
      <c r="E37" s="1245" t="s">
        <v>1740</v>
      </c>
      <c r="F37" s="1245"/>
      <c r="G37" s="1244"/>
      <c r="H37" s="1244"/>
      <c r="I37" s="1246">
        <v>0</v>
      </c>
      <c r="J37" s="1339"/>
      <c r="K37" s="1246">
        <v>0</v>
      </c>
      <c r="L37" s="1339"/>
      <c r="M37" s="1246">
        <v>0</v>
      </c>
      <c r="N37" s="1339"/>
      <c r="O37" s="1276">
        <f>150*'Pricing Detail'!G6</f>
        <v>4050</v>
      </c>
      <c r="P37" s="1339"/>
      <c r="Q37" s="1276">
        <f t="shared" si="0"/>
        <v>4050</v>
      </c>
      <c r="R37" s="1240"/>
      <c r="S37" s="1257"/>
      <c r="T37" s="1251">
        <v>12</v>
      </c>
      <c r="U37" s="1252">
        <f>IFERROR(Q37/'Rent Roll Summary'!$C$36,0)</f>
        <v>150</v>
      </c>
      <c r="V37" s="1253">
        <f>IFERROR(Q37/'Rent Roll Summary'!$T$36,0)</f>
        <v>0.17861868219105584</v>
      </c>
      <c r="W37" s="964"/>
      <c r="X37" s="973"/>
      <c r="Y37" s="973"/>
      <c r="Z37" s="973"/>
      <c r="AA37" s="973"/>
      <c r="AB37" s="973"/>
      <c r="AC37" s="973"/>
      <c r="AD37" s="973"/>
    </row>
    <row r="38" spans="1:30" s="63" customFormat="1" ht="9.9499999999999993" customHeight="1">
      <c r="A38" s="635"/>
      <c r="B38" s="973"/>
      <c r="C38" s="973"/>
      <c r="D38" s="976"/>
      <c r="E38" s="1334" t="s">
        <v>1741</v>
      </c>
      <c r="F38" s="1334"/>
      <c r="G38" s="1340"/>
      <c r="H38" s="1340"/>
      <c r="I38" s="1285">
        <v>0</v>
      </c>
      <c r="J38" s="1335"/>
      <c r="K38" s="1285">
        <v>0</v>
      </c>
      <c r="L38" s="1335"/>
      <c r="M38" s="1285">
        <v>0</v>
      </c>
      <c r="N38" s="1335"/>
      <c r="O38" s="1283">
        <f>O21*P38</f>
        <v>28381.223999999998</v>
      </c>
      <c r="P38" s="1341">
        <v>0.04</v>
      </c>
      <c r="Q38" s="1283">
        <f>R38*Q21</f>
        <v>33607.440000000002</v>
      </c>
      <c r="R38" s="1341">
        <v>0.04</v>
      </c>
      <c r="S38" s="1312"/>
      <c r="T38" s="1286">
        <v>13</v>
      </c>
      <c r="U38" s="1313">
        <f>IFERROR(Q38/'Rent Roll Summary'!$C$36,0)</f>
        <v>1244.72</v>
      </c>
      <c r="V38" s="1288">
        <f>IFERROR(Q38/'Rent Roll Summary'!$T$36,0)</f>
        <v>1.4822016406456735</v>
      </c>
      <c r="W38" s="964"/>
      <c r="X38" s="973"/>
      <c r="Y38" s="973"/>
      <c r="Z38" s="973"/>
      <c r="AA38" s="973"/>
      <c r="AB38" s="973"/>
      <c r="AC38" s="973"/>
      <c r="AD38" s="973"/>
    </row>
    <row r="39" spans="1:30" s="63" customFormat="1" ht="9.9499999999999993" customHeight="1">
      <c r="A39" s="635"/>
      <c r="B39" s="973"/>
      <c r="C39" s="973"/>
      <c r="D39" s="973"/>
      <c r="E39" s="1314" t="s">
        <v>1742</v>
      </c>
      <c r="F39" s="1314"/>
      <c r="G39" s="1314"/>
      <c r="H39" s="1314"/>
      <c r="I39" s="1315">
        <f>SUM(I24:I38)</f>
        <v>0</v>
      </c>
      <c r="J39" s="1342"/>
      <c r="K39" s="1315">
        <f>SUM(K24:K38)</f>
        <v>0</v>
      </c>
      <c r="L39" s="1342"/>
      <c r="M39" s="1315">
        <f>SUM(M24:M38)</f>
        <v>0</v>
      </c>
      <c r="N39" s="1342"/>
      <c r="O39" s="1316">
        <f>SUM(O24:O38)</f>
        <v>263694.54399999999</v>
      </c>
      <c r="P39" s="1342"/>
      <c r="Q39" s="1316">
        <f>SUM(Q24:Q38)</f>
        <v>268920.76</v>
      </c>
      <c r="R39" s="1342"/>
      <c r="S39" s="1315">
        <f>SUM(S24:S38)</f>
        <v>0</v>
      </c>
      <c r="T39" s="1342"/>
      <c r="U39" s="1318">
        <f>IFERROR(Q39/'Rent Roll Summary'!$C$36,0)</f>
        <v>9960.0281481481488</v>
      </c>
      <c r="V39" s="1319">
        <f>IFERROR(Q39/'Rent Roll Summary'!$T$36,0)</f>
        <v>11.86031401605363</v>
      </c>
      <c r="W39" s="964"/>
      <c r="X39" s="973"/>
      <c r="Y39" s="973"/>
      <c r="Z39" s="973"/>
      <c r="AA39" s="973"/>
      <c r="AB39" s="973"/>
      <c r="AC39" s="973"/>
      <c r="AD39" s="973"/>
    </row>
    <row r="40" spans="1:30" s="63" customFormat="1" ht="9.9499999999999993" customHeight="1">
      <c r="A40" s="635"/>
      <c r="B40" s="973"/>
      <c r="C40" s="973"/>
      <c r="D40" s="973"/>
      <c r="E40" s="1314" t="s">
        <v>1743</v>
      </c>
      <c r="F40" s="1314"/>
      <c r="G40" s="1314"/>
      <c r="H40" s="1314"/>
      <c r="I40" s="1343">
        <f>IFERROR(I39/I21,0)</f>
        <v>0</v>
      </c>
      <c r="J40" s="1342"/>
      <c r="K40" s="1343">
        <f>IFERROR(K39/K21,0)</f>
        <v>0</v>
      </c>
      <c r="L40" s="1342"/>
      <c r="M40" s="1343">
        <f>IFERROR(M39/M21,0)</f>
        <v>0</v>
      </c>
      <c r="N40" s="1342"/>
      <c r="O40" s="1344">
        <f>IFERROR(O39/O21,0)</f>
        <v>0.37164647162504338</v>
      </c>
      <c r="P40" s="1342"/>
      <c r="Q40" s="1344">
        <f>IFERROR(Q39/Q21,0)</f>
        <v>0.32007288862228128</v>
      </c>
      <c r="R40" s="1342"/>
      <c r="S40" s="1343">
        <f>IFERROR(S39/S21,0)</f>
        <v>0</v>
      </c>
      <c r="T40" s="1342"/>
      <c r="U40" s="1318"/>
      <c r="V40" s="1319"/>
      <c r="W40" s="964"/>
      <c r="X40" s="973"/>
      <c r="Y40" s="973"/>
      <c r="Z40" s="973"/>
      <c r="AA40" s="973"/>
      <c r="AB40" s="973"/>
      <c r="AC40" s="973"/>
      <c r="AD40" s="973"/>
    </row>
    <row r="41" spans="1:30" s="63" customFormat="1" ht="9.9499999999999993" customHeight="1">
      <c r="A41" s="635"/>
      <c r="B41" s="973"/>
      <c r="C41" s="973"/>
      <c r="D41" s="973"/>
      <c r="E41" s="1289" t="s">
        <v>1744</v>
      </c>
      <c r="F41" s="1289"/>
      <c r="G41" s="1289"/>
      <c r="H41" s="1289"/>
      <c r="I41" s="1320">
        <f>I21-I39</f>
        <v>0</v>
      </c>
      <c r="J41" s="1345"/>
      <c r="K41" s="1320">
        <f>K21-K39</f>
        <v>0</v>
      </c>
      <c r="L41" s="1345"/>
      <c r="M41" s="1320">
        <f>M21-M39</f>
        <v>0</v>
      </c>
      <c r="N41" s="1345"/>
      <c r="O41" s="1321">
        <f>O21-O39</f>
        <v>445836.05599999998</v>
      </c>
      <c r="P41" s="1345"/>
      <c r="Q41" s="1321">
        <f>Q21-Q39</f>
        <v>571265.24</v>
      </c>
      <c r="R41" s="1346"/>
      <c r="S41" s="1320">
        <f>S21-S39</f>
        <v>0</v>
      </c>
      <c r="T41" s="1345"/>
      <c r="U41" s="1323">
        <f>IFERROR(Q41/'Rent Roll Summary'!$C$36,0)</f>
        <v>21157.971851851853</v>
      </c>
      <c r="V41" s="1324">
        <f>IFERROR(Q41/'Rent Roll Summary'!$T$36,0)</f>
        <v>25.194727000088207</v>
      </c>
      <c r="W41" s="977"/>
      <c r="X41" s="973"/>
      <c r="Y41" s="973"/>
      <c r="Z41" s="973"/>
      <c r="AA41" s="973"/>
      <c r="AB41" s="973"/>
      <c r="AC41" s="973"/>
      <c r="AD41" s="973"/>
    </row>
    <row r="42" spans="1:30" s="63" customFormat="1" ht="9" customHeight="1">
      <c r="A42" s="635"/>
      <c r="B42" s="973"/>
      <c r="C42" s="973"/>
      <c r="D42" s="973"/>
      <c r="E42" s="978" t="s">
        <v>1745</v>
      </c>
      <c r="F42" s="979"/>
      <c r="G42" s="979"/>
      <c r="H42" s="979"/>
      <c r="I42" s="979"/>
      <c r="J42" s="979"/>
      <c r="K42" s="979"/>
      <c r="L42" s="979"/>
      <c r="M42" s="979"/>
      <c r="N42" s="979"/>
      <c r="O42" s="979"/>
      <c r="P42" s="979"/>
      <c r="Q42" s="979"/>
      <c r="R42" s="979"/>
      <c r="S42" s="979"/>
      <c r="T42" s="979"/>
      <c r="U42" s="979"/>
      <c r="V42" s="979"/>
      <c r="W42" s="964"/>
      <c r="X42" s="973"/>
      <c r="Y42" s="973"/>
      <c r="Z42" s="973"/>
      <c r="AA42" s="973"/>
      <c r="AB42" s="973"/>
      <c r="AC42" s="973"/>
      <c r="AD42" s="973"/>
    </row>
    <row r="43" spans="1:30" ht="9" customHeight="1">
      <c r="A43" s="589"/>
      <c r="B43" s="955"/>
      <c r="C43" s="955"/>
      <c r="D43" s="955"/>
      <c r="E43" s="980"/>
      <c r="F43" s="980"/>
      <c r="G43" s="980"/>
      <c r="H43" s="980"/>
      <c r="I43" s="981"/>
      <c r="J43" s="982"/>
      <c r="K43" s="981"/>
      <c r="L43" s="982"/>
      <c r="M43" s="981"/>
      <c r="N43" s="982"/>
      <c r="O43" s="981"/>
      <c r="P43" s="982"/>
      <c r="Q43" s="981"/>
      <c r="R43" s="982"/>
      <c r="S43" s="982"/>
      <c r="T43" s="982"/>
      <c r="U43" s="981"/>
      <c r="V43" s="981"/>
      <c r="W43" s="983"/>
      <c r="X43" s="984"/>
      <c r="Y43" s="955"/>
      <c r="Z43" s="955"/>
      <c r="AA43" s="955"/>
      <c r="AB43" s="955"/>
      <c r="AC43" s="955"/>
      <c r="AD43" s="955"/>
    </row>
    <row r="44" spans="1:30" ht="9" customHeight="1">
      <c r="A44" s="589"/>
      <c r="B44" s="955"/>
      <c r="C44" s="955"/>
      <c r="D44" s="955"/>
      <c r="E44" s="955"/>
      <c r="F44" s="955"/>
      <c r="G44" s="955"/>
      <c r="H44" s="955"/>
      <c r="I44" s="956"/>
      <c r="J44" s="957"/>
      <c r="K44" s="956"/>
      <c r="L44" s="957"/>
      <c r="M44" s="956"/>
      <c r="N44" s="957"/>
      <c r="O44" s="956"/>
      <c r="P44" s="957"/>
      <c r="Q44" s="956"/>
      <c r="R44" s="957"/>
      <c r="S44" s="957"/>
      <c r="T44" s="957"/>
      <c r="U44" s="956"/>
      <c r="V44" s="956"/>
      <c r="W44" s="956"/>
      <c r="X44" s="955"/>
      <c r="Y44" s="955"/>
      <c r="Z44" s="955"/>
      <c r="AA44" s="955"/>
      <c r="AB44" s="955"/>
      <c r="AC44" s="955"/>
      <c r="AD44" s="955"/>
    </row>
    <row r="45" spans="1:30" ht="9" customHeight="1">
      <c r="A45" s="589"/>
      <c r="B45" s="955"/>
      <c r="C45" s="955"/>
      <c r="D45" s="955"/>
      <c r="E45" s="955"/>
      <c r="F45" s="955"/>
      <c r="G45" s="955"/>
      <c r="H45" s="955"/>
      <c r="I45" s="956"/>
      <c r="J45" s="957"/>
      <c r="K45" s="956"/>
      <c r="L45" s="957"/>
      <c r="M45" s="956"/>
      <c r="N45" s="957"/>
      <c r="O45" s="956"/>
      <c r="P45" s="957"/>
      <c r="Q45" s="956"/>
      <c r="R45" s="957"/>
      <c r="S45" s="957"/>
      <c r="T45" s="957"/>
      <c r="U45" s="956"/>
      <c r="V45" s="956"/>
      <c r="W45" s="956"/>
      <c r="X45" s="955"/>
      <c r="Y45" s="955"/>
      <c r="Z45" s="955"/>
      <c r="AA45" s="955"/>
      <c r="AB45" s="955"/>
      <c r="AC45" s="955"/>
      <c r="AD45" s="955"/>
    </row>
    <row r="46" spans="1:30" ht="9" customHeight="1">
      <c r="A46" s="589"/>
      <c r="B46" s="955"/>
      <c r="C46" s="955"/>
      <c r="D46" s="955"/>
      <c r="E46" s="955"/>
      <c r="F46" s="955"/>
      <c r="G46" s="955"/>
      <c r="H46" s="955"/>
      <c r="I46" s="985"/>
      <c r="J46" s="957"/>
      <c r="K46" s="985"/>
      <c r="L46" s="957"/>
      <c r="M46" s="985"/>
      <c r="N46" s="957"/>
      <c r="O46" s="985"/>
      <c r="P46" s="957"/>
      <c r="Q46" s="956"/>
      <c r="R46" s="957"/>
      <c r="S46" s="957"/>
      <c r="T46" s="957"/>
      <c r="U46" s="956"/>
      <c r="V46" s="956"/>
      <c r="W46" s="956"/>
      <c r="X46" s="955"/>
      <c r="Y46" s="955"/>
      <c r="Z46" s="955"/>
      <c r="AA46" s="955"/>
      <c r="AB46" s="955"/>
      <c r="AC46" s="955"/>
      <c r="AD46" s="955"/>
    </row>
    <row r="47" spans="1:30" ht="9" customHeight="1">
      <c r="A47" s="589"/>
      <c r="B47" s="955"/>
      <c r="C47" s="955"/>
      <c r="D47" s="955"/>
      <c r="E47" s="955"/>
      <c r="F47" s="955"/>
      <c r="G47" s="955"/>
      <c r="H47" s="955"/>
      <c r="I47" s="956"/>
      <c r="J47" s="957"/>
      <c r="K47" s="956"/>
      <c r="L47" s="957"/>
      <c r="M47" s="956"/>
      <c r="N47" s="957"/>
      <c r="O47" s="956"/>
      <c r="P47" s="957"/>
      <c r="Q47" s="956"/>
      <c r="R47" s="957"/>
      <c r="S47" s="957"/>
      <c r="T47" s="957"/>
      <c r="U47" s="956"/>
      <c r="V47" s="956"/>
      <c r="W47" s="956"/>
      <c r="X47" s="955"/>
      <c r="Y47" s="955"/>
      <c r="Z47" s="955"/>
      <c r="AA47" s="955"/>
      <c r="AB47" s="955"/>
      <c r="AC47" s="955"/>
      <c r="AD47" s="955"/>
    </row>
    <row r="48" spans="1:30" ht="9" customHeight="1">
      <c r="A48" s="589"/>
      <c r="B48" s="955"/>
      <c r="C48" s="955"/>
      <c r="D48" s="955"/>
      <c r="E48" s="955"/>
      <c r="F48" s="955"/>
      <c r="G48" s="955"/>
      <c r="H48" s="955"/>
      <c r="I48" s="956"/>
      <c r="J48" s="957"/>
      <c r="K48" s="956"/>
      <c r="L48" s="957"/>
      <c r="M48" s="956"/>
      <c r="N48" s="957"/>
      <c r="O48" s="956"/>
      <c r="P48" s="957"/>
      <c r="Q48" s="956"/>
      <c r="R48" s="957"/>
      <c r="S48" s="957"/>
      <c r="T48" s="957"/>
      <c r="U48" s="956"/>
      <c r="V48" s="956"/>
      <c r="W48" s="956"/>
      <c r="X48" s="955"/>
      <c r="Y48" s="955"/>
      <c r="Z48" s="955"/>
      <c r="AA48" s="955"/>
      <c r="AB48" s="955"/>
      <c r="AC48" s="955"/>
      <c r="AD48" s="955"/>
    </row>
    <row r="49" spans="1:30" ht="9" customHeight="1">
      <c r="A49" s="589"/>
      <c r="B49" s="589"/>
      <c r="C49" s="589"/>
      <c r="D49" s="589"/>
      <c r="E49" s="589"/>
      <c r="F49" s="589"/>
      <c r="G49" s="589"/>
      <c r="H49" s="589"/>
      <c r="I49" s="632"/>
      <c r="J49" s="592"/>
      <c r="K49" s="632"/>
      <c r="L49" s="592"/>
      <c r="M49" s="632"/>
      <c r="N49" s="592"/>
      <c r="O49" s="632"/>
      <c r="P49" s="592"/>
      <c r="Q49" s="632"/>
      <c r="R49" s="592"/>
      <c r="S49" s="592"/>
      <c r="T49" s="592"/>
      <c r="U49" s="632"/>
      <c r="V49" s="632"/>
      <c r="W49" s="632"/>
      <c r="X49" s="589"/>
      <c r="Y49" s="589"/>
      <c r="Z49" s="589"/>
      <c r="AA49" s="589"/>
      <c r="AB49" s="589"/>
      <c r="AC49" s="589"/>
      <c r="AD49" s="589"/>
    </row>
    <row r="50" spans="1:30" ht="9" customHeight="1">
      <c r="A50" s="589"/>
      <c r="B50" s="589"/>
      <c r="C50" s="589"/>
      <c r="D50" s="589"/>
      <c r="E50" s="589"/>
      <c r="F50" s="589"/>
      <c r="G50" s="589"/>
      <c r="H50" s="589"/>
      <c r="I50" s="632"/>
      <c r="J50" s="592"/>
      <c r="K50" s="632"/>
      <c r="L50" s="592"/>
      <c r="M50" s="632"/>
      <c r="N50" s="592"/>
      <c r="O50" s="632"/>
      <c r="P50" s="592"/>
      <c r="Q50" s="632"/>
      <c r="R50" s="592"/>
      <c r="S50" s="592"/>
      <c r="T50" s="592"/>
      <c r="U50" s="632"/>
      <c r="V50" s="632"/>
      <c r="W50" s="632"/>
      <c r="X50" s="589"/>
      <c r="Y50" s="589"/>
      <c r="Z50" s="589"/>
      <c r="AA50" s="589"/>
      <c r="AB50" s="589"/>
      <c r="AC50" s="589"/>
      <c r="AD50" s="589"/>
    </row>
    <row r="51" spans="1:30" ht="9" customHeight="1">
      <c r="A51" s="589"/>
      <c r="B51" s="589"/>
      <c r="C51" s="589"/>
      <c r="D51" s="589"/>
      <c r="E51" s="589"/>
      <c r="F51" s="589"/>
      <c r="G51" s="589"/>
      <c r="H51" s="589"/>
      <c r="I51" s="632"/>
      <c r="J51" s="592"/>
      <c r="K51" s="632"/>
      <c r="L51" s="592"/>
      <c r="M51" s="632"/>
      <c r="N51" s="592"/>
      <c r="O51" s="632"/>
      <c r="P51" s="592"/>
      <c r="Q51" s="632"/>
      <c r="R51" s="592"/>
      <c r="S51" s="592"/>
      <c r="T51" s="592"/>
      <c r="U51" s="632"/>
      <c r="V51" s="632"/>
      <c r="W51" s="632"/>
      <c r="X51" s="589"/>
      <c r="Y51" s="589"/>
      <c r="Z51" s="589"/>
      <c r="AA51" s="589"/>
      <c r="AB51" s="589"/>
      <c r="AC51" s="589"/>
      <c r="AD51" s="589"/>
    </row>
    <row r="52" spans="1:30">
      <c r="A52" s="589"/>
      <c r="B52" s="589"/>
      <c r="C52" s="589"/>
      <c r="D52" s="589"/>
      <c r="E52" s="589"/>
      <c r="F52" s="589"/>
      <c r="G52" s="589"/>
      <c r="H52" s="589"/>
      <c r="I52" s="632"/>
      <c r="J52" s="592"/>
      <c r="K52" s="632"/>
      <c r="L52" s="592"/>
      <c r="M52" s="632"/>
      <c r="N52" s="592"/>
      <c r="O52" s="632"/>
      <c r="P52" s="592"/>
      <c r="Q52" s="632"/>
      <c r="R52" s="592"/>
      <c r="S52" s="592"/>
      <c r="T52" s="592"/>
      <c r="U52" s="632"/>
      <c r="V52" s="632"/>
      <c r="W52" s="632"/>
      <c r="X52" s="589"/>
      <c r="Y52" s="589"/>
      <c r="Z52" s="589"/>
      <c r="AA52" s="589"/>
      <c r="AB52" s="589"/>
      <c r="AC52" s="589"/>
      <c r="AD52" s="589"/>
    </row>
    <row r="53" spans="1:30">
      <c r="A53" s="589"/>
      <c r="B53" s="589"/>
      <c r="C53" s="589"/>
      <c r="D53" s="589"/>
      <c r="E53" s="589"/>
      <c r="F53" s="589"/>
      <c r="G53" s="589"/>
      <c r="H53" s="589"/>
      <c r="I53" s="632"/>
      <c r="J53" s="592"/>
      <c r="K53" s="632"/>
      <c r="L53" s="592"/>
      <c r="M53" s="632"/>
      <c r="N53" s="592"/>
      <c r="O53" s="632"/>
      <c r="P53" s="592"/>
      <c r="Q53" s="632"/>
      <c r="R53" s="592"/>
      <c r="S53" s="592"/>
      <c r="T53" s="592"/>
      <c r="U53" s="632"/>
      <c r="V53" s="632"/>
      <c r="W53" s="632"/>
      <c r="X53" s="589"/>
      <c r="Y53" s="589"/>
      <c r="Z53" s="589"/>
      <c r="AA53" s="589"/>
      <c r="AB53" s="589"/>
      <c r="AC53" s="589"/>
      <c r="AD53" s="589"/>
    </row>
    <row r="54" spans="1:30">
      <c r="A54" s="589"/>
      <c r="B54" s="589"/>
      <c r="C54" s="589"/>
      <c r="D54" s="589"/>
      <c r="E54" s="589"/>
      <c r="F54" s="589"/>
      <c r="G54" s="589"/>
      <c r="H54" s="589"/>
      <c r="I54" s="632"/>
      <c r="J54" s="592"/>
      <c r="K54" s="632"/>
      <c r="L54" s="592"/>
      <c r="M54" s="632"/>
      <c r="N54" s="592"/>
      <c r="O54" s="632"/>
      <c r="P54" s="592"/>
      <c r="Q54" s="632"/>
      <c r="R54" s="592"/>
      <c r="S54" s="592"/>
      <c r="T54" s="592"/>
      <c r="U54" s="632"/>
      <c r="V54" s="632"/>
      <c r="W54" s="632"/>
      <c r="X54" s="589"/>
      <c r="Y54" s="589"/>
      <c r="Z54" s="589"/>
      <c r="AA54" s="589"/>
      <c r="AB54" s="589"/>
      <c r="AC54" s="589"/>
      <c r="AD54" s="589"/>
    </row>
    <row r="55" spans="1:30">
      <c r="A55" s="589"/>
      <c r="B55" s="589"/>
      <c r="C55" s="589"/>
      <c r="D55" s="589"/>
      <c r="E55" s="589"/>
      <c r="F55" s="589"/>
      <c r="G55" s="589"/>
      <c r="H55" s="589"/>
      <c r="I55" s="632"/>
      <c r="J55" s="592"/>
      <c r="K55" s="632"/>
      <c r="L55" s="592"/>
      <c r="M55" s="632"/>
      <c r="N55" s="592"/>
      <c r="O55" s="632"/>
      <c r="P55" s="592"/>
      <c r="Q55" s="632"/>
      <c r="R55" s="592"/>
      <c r="S55" s="592"/>
      <c r="T55" s="592"/>
      <c r="U55" s="632"/>
      <c r="V55" s="632"/>
      <c r="W55" s="632"/>
      <c r="X55" s="589"/>
      <c r="Y55" s="589"/>
      <c r="Z55" s="589"/>
      <c r="AA55" s="589"/>
      <c r="AB55" s="589"/>
      <c r="AC55" s="589"/>
      <c r="AD55" s="589"/>
    </row>
    <row r="56" spans="1:30">
      <c r="A56" s="589"/>
      <c r="B56" s="589"/>
      <c r="C56" s="589"/>
      <c r="D56" s="589"/>
      <c r="E56" s="589"/>
      <c r="F56" s="589"/>
      <c r="G56" s="589"/>
      <c r="H56" s="589"/>
      <c r="I56" s="632"/>
      <c r="J56" s="592"/>
      <c r="K56" s="632"/>
      <c r="L56" s="592"/>
      <c r="M56" s="632"/>
      <c r="N56" s="592"/>
      <c r="O56" s="632"/>
      <c r="P56" s="592"/>
      <c r="Q56" s="632"/>
      <c r="R56" s="592"/>
      <c r="S56" s="592"/>
      <c r="T56" s="592"/>
      <c r="U56" s="632"/>
      <c r="V56" s="632"/>
      <c r="W56" s="632"/>
      <c r="X56" s="589"/>
      <c r="Y56" s="589"/>
      <c r="Z56" s="589"/>
      <c r="AA56" s="589"/>
      <c r="AB56" s="589"/>
      <c r="AC56" s="589"/>
      <c r="AD56" s="589"/>
    </row>
    <row r="57" spans="1:30">
      <c r="A57" s="589"/>
      <c r="B57" s="589"/>
      <c r="C57" s="589"/>
      <c r="D57" s="589"/>
      <c r="E57" s="589"/>
      <c r="F57" s="589"/>
      <c r="G57" s="589"/>
      <c r="H57" s="589"/>
      <c r="I57" s="632"/>
      <c r="J57" s="592"/>
      <c r="K57" s="632"/>
      <c r="L57" s="592"/>
      <c r="M57" s="632"/>
      <c r="N57" s="592"/>
      <c r="O57" s="632"/>
      <c r="P57" s="592"/>
      <c r="Q57" s="632"/>
      <c r="R57" s="592"/>
      <c r="S57" s="592"/>
      <c r="T57" s="592"/>
      <c r="U57" s="632"/>
      <c r="V57" s="632"/>
      <c r="W57" s="632"/>
      <c r="X57" s="589"/>
      <c r="Y57" s="589"/>
      <c r="Z57" s="589"/>
      <c r="AA57" s="589"/>
      <c r="AB57" s="589"/>
      <c r="AC57" s="589"/>
      <c r="AD57" s="589"/>
    </row>
    <row r="58" spans="1:30">
      <c r="A58" s="589"/>
      <c r="B58" s="589"/>
      <c r="C58" s="589"/>
      <c r="D58" s="589"/>
      <c r="E58" s="589"/>
      <c r="F58" s="589"/>
      <c r="G58" s="589"/>
      <c r="H58" s="589"/>
      <c r="I58" s="632"/>
      <c r="J58" s="592"/>
      <c r="K58" s="632"/>
      <c r="L58" s="592"/>
      <c r="M58" s="632"/>
      <c r="N58" s="592"/>
      <c r="O58" s="632"/>
      <c r="P58" s="592"/>
      <c r="Q58" s="632"/>
      <c r="R58" s="592"/>
      <c r="S58" s="592"/>
      <c r="T58" s="592"/>
      <c r="U58" s="632"/>
      <c r="V58" s="632"/>
      <c r="W58" s="632"/>
      <c r="X58" s="589"/>
      <c r="Y58" s="589"/>
      <c r="Z58" s="589"/>
      <c r="AA58" s="589"/>
      <c r="AB58" s="589"/>
      <c r="AC58" s="589"/>
      <c r="AD58" s="589"/>
    </row>
    <row r="59" spans="1:30">
      <c r="A59" s="589"/>
      <c r="B59" s="589"/>
      <c r="C59" s="589"/>
      <c r="D59" s="589"/>
      <c r="E59" s="589"/>
      <c r="F59" s="589"/>
      <c r="G59" s="589"/>
      <c r="H59" s="589"/>
      <c r="I59" s="632"/>
      <c r="J59" s="592"/>
      <c r="K59" s="632"/>
      <c r="L59" s="592"/>
      <c r="M59" s="632"/>
      <c r="N59" s="592"/>
      <c r="O59" s="632"/>
      <c r="P59" s="592"/>
      <c r="Q59" s="632"/>
      <c r="R59" s="592"/>
      <c r="S59" s="592"/>
      <c r="T59" s="592"/>
      <c r="U59" s="632"/>
      <c r="V59" s="632"/>
      <c r="W59" s="632"/>
      <c r="X59" s="589"/>
      <c r="Y59" s="589"/>
      <c r="Z59" s="589"/>
      <c r="AA59" s="589"/>
      <c r="AB59" s="589"/>
      <c r="AC59" s="589"/>
      <c r="AD59" s="589"/>
    </row>
    <row r="60" spans="1:30">
      <c r="A60" s="589"/>
      <c r="B60" s="589"/>
      <c r="C60" s="589"/>
      <c r="D60" s="589"/>
      <c r="E60" s="589"/>
      <c r="F60" s="589"/>
      <c r="G60" s="589"/>
      <c r="H60" s="589"/>
      <c r="I60" s="632"/>
      <c r="J60" s="592"/>
      <c r="K60" s="632"/>
      <c r="L60" s="592"/>
      <c r="M60" s="632"/>
      <c r="N60" s="592"/>
      <c r="O60" s="632"/>
      <c r="P60" s="592"/>
      <c r="Q60" s="632"/>
      <c r="R60" s="592"/>
      <c r="S60" s="592"/>
      <c r="T60" s="592"/>
      <c r="U60" s="632"/>
      <c r="V60" s="632"/>
      <c r="W60" s="632"/>
      <c r="X60" s="589"/>
      <c r="Y60" s="589"/>
      <c r="Z60" s="589"/>
      <c r="AA60" s="589"/>
      <c r="AB60" s="589"/>
      <c r="AC60" s="589"/>
      <c r="AD60" s="589"/>
    </row>
    <row r="61" spans="1:30">
      <c r="A61" s="589"/>
      <c r="B61" s="589"/>
      <c r="C61" s="589"/>
      <c r="D61" s="589"/>
      <c r="E61" s="589"/>
      <c r="F61" s="589"/>
      <c r="G61" s="589"/>
      <c r="H61" s="589"/>
      <c r="I61" s="632"/>
      <c r="J61" s="592"/>
      <c r="K61" s="632"/>
      <c r="L61" s="592"/>
      <c r="M61" s="632"/>
      <c r="N61" s="592"/>
      <c r="O61" s="632"/>
      <c r="P61" s="592"/>
      <c r="Q61" s="632"/>
      <c r="R61" s="592"/>
      <c r="S61" s="592"/>
      <c r="T61" s="592"/>
      <c r="U61" s="632"/>
      <c r="V61" s="632"/>
      <c r="W61" s="632"/>
      <c r="X61" s="589"/>
      <c r="Y61" s="589"/>
      <c r="Z61" s="589"/>
      <c r="AA61" s="589"/>
      <c r="AB61" s="589"/>
      <c r="AC61" s="589"/>
      <c r="AD61" s="589"/>
    </row>
    <row r="62" spans="1:30">
      <c r="A62" s="589"/>
      <c r="B62" s="589"/>
      <c r="C62" s="589"/>
      <c r="D62" s="589"/>
      <c r="E62" s="589"/>
      <c r="F62" s="589"/>
      <c r="G62" s="589"/>
      <c r="H62" s="589"/>
      <c r="I62" s="632"/>
      <c r="J62" s="592"/>
      <c r="K62" s="632"/>
      <c r="L62" s="592"/>
      <c r="M62" s="632"/>
      <c r="N62" s="592"/>
      <c r="O62" s="632"/>
      <c r="P62" s="592"/>
      <c r="Q62" s="632"/>
      <c r="R62" s="592"/>
      <c r="S62" s="592"/>
      <c r="T62" s="592"/>
      <c r="U62" s="632"/>
      <c r="V62" s="632"/>
      <c r="W62" s="632"/>
      <c r="X62" s="589"/>
      <c r="Y62" s="589"/>
      <c r="Z62" s="589"/>
      <c r="AA62" s="589"/>
      <c r="AB62" s="589"/>
      <c r="AC62" s="589"/>
      <c r="AD62" s="589"/>
    </row>
    <row r="63" spans="1:30">
      <c r="A63" s="589"/>
      <c r="B63" s="589"/>
      <c r="C63" s="589"/>
      <c r="D63" s="589"/>
      <c r="E63" s="589"/>
      <c r="F63" s="589"/>
      <c r="G63" s="589"/>
      <c r="H63" s="589"/>
      <c r="I63" s="632"/>
      <c r="J63" s="592"/>
      <c r="K63" s="632"/>
      <c r="L63" s="592"/>
      <c r="M63" s="632"/>
      <c r="N63" s="592"/>
      <c r="O63" s="632"/>
      <c r="P63" s="592"/>
      <c r="Q63" s="632"/>
      <c r="R63" s="592"/>
      <c r="S63" s="592"/>
      <c r="T63" s="592"/>
      <c r="U63" s="632"/>
      <c r="V63" s="632"/>
      <c r="W63" s="632"/>
      <c r="X63" s="589"/>
      <c r="Y63" s="589"/>
      <c r="Z63" s="589"/>
      <c r="AA63" s="589"/>
      <c r="AB63" s="589"/>
      <c r="AC63" s="589"/>
      <c r="AD63" s="589"/>
    </row>
    <row r="64" spans="1:30">
      <c r="A64" s="589"/>
      <c r="B64" s="589"/>
      <c r="C64" s="589"/>
      <c r="D64" s="589"/>
      <c r="E64" s="589"/>
      <c r="F64" s="589"/>
      <c r="G64" s="589"/>
      <c r="H64" s="589"/>
      <c r="I64" s="632"/>
      <c r="J64" s="592"/>
      <c r="K64" s="632"/>
      <c r="L64" s="592"/>
      <c r="M64" s="632"/>
      <c r="N64" s="592"/>
      <c r="O64" s="632"/>
      <c r="P64" s="592"/>
      <c r="Q64" s="632"/>
      <c r="R64" s="592"/>
      <c r="S64" s="592"/>
      <c r="T64" s="592"/>
      <c r="U64" s="632"/>
      <c r="V64" s="632"/>
      <c r="W64" s="632"/>
      <c r="X64" s="589"/>
      <c r="Y64" s="589"/>
      <c r="Z64" s="589"/>
      <c r="AA64" s="589"/>
      <c r="AB64" s="589"/>
      <c r="AC64" s="589"/>
      <c r="AD64" s="589"/>
    </row>
  </sheetData>
  <mergeCells count="20">
    <mergeCell ref="E13:H13"/>
    <mergeCell ref="E12:H12"/>
    <mergeCell ref="E11:H11"/>
    <mergeCell ref="Z8:AA9"/>
    <mergeCell ref="AB8:AB9"/>
    <mergeCell ref="E19:H19"/>
    <mergeCell ref="E18:H18"/>
    <mergeCell ref="C29:C36"/>
    <mergeCell ref="C26:C28"/>
    <mergeCell ref="E26:H26"/>
    <mergeCell ref="E27:H27"/>
    <mergeCell ref="E28:H28"/>
    <mergeCell ref="E29:H29"/>
    <mergeCell ref="E30:H30"/>
    <mergeCell ref="E31:H31"/>
    <mergeCell ref="E32:H32"/>
    <mergeCell ref="E33:H33"/>
    <mergeCell ref="E34:H34"/>
    <mergeCell ref="E35:H35"/>
    <mergeCell ref="E36:H36"/>
  </mergeCells>
  <conditionalFormatting sqref="Z4">
    <cfRule type="expression" dxfId="105" priority="200">
      <formula>$AA$3&lt;&gt;"Tax Rate %"</formula>
    </cfRule>
  </conditionalFormatting>
  <conditionalFormatting sqref="AA4">
    <cfRule type="expression" dxfId="104" priority="201">
      <formula>$AA$3&lt;&gt;"Tax Rate %"</formula>
    </cfRule>
  </conditionalFormatting>
  <conditionalFormatting sqref="I4 I6:I7 I9 E11:I13 K4:K7 K9 K11:K13 M4:M7 M9 M11:M13 O4 O11:O13 P9 Q4 T6:T13 R11:R13 R9 R7 E18:I19 K18:K19 M18:M19 O18:O19 Q18:Q19 T18:T19 T15:T17 I24:I38 E26:H36 K24:K38 M24:M38 O24:O37 P38 Q24:Q37 R38 T24:T38 J11:J13 L11:L13 N11:N13 N18:N19 L18:L19 J18:J19 J26:J36 L26:L36 N26:N36 R7 E18:I19 K18:K19 M18:M19 O18:O19 Q18:Q19 T18:T19 T15:T17 I24:I38 E26:H36 K24:K38 M24:M38 O24:O37 P38 Q24:Q37 R38 T24:T38">
    <cfRule type="expression" dxfId="103" priority="5">
      <formula>$AB$8= "Yes"</formula>
    </cfRule>
  </conditionalFormatting>
  <conditionalFormatting sqref="I4 K4 M4 O4 Q4">
    <cfRule type="expression" dxfId="102" priority="4">
      <formula>$AB$8="Yes"</formula>
    </cfRule>
  </conditionalFormatting>
  <conditionalFormatting sqref="T8 T16">
    <cfRule type="expression" dxfId="101" priority="1">
      <formula>$AB$8="Yes"</formula>
    </cfRule>
  </conditionalFormatting>
  <dataValidations count="5">
    <dataValidation type="decimal" operator="lessThanOrEqual" allowBlank="1" showInputMessage="1" showErrorMessage="1" errorTitle="Invalid Entry" error="Value must be less than or equal to zero." sqref="O11:O13 M11:M13 K11:K13 I11:I13" xr:uid="{00000000-0002-0000-1000-000000000000}">
      <formula1>0</formula1>
    </dataValidation>
    <dataValidation type="list" allowBlank="1" showErrorMessage="1" error="Please choose up to 3 additional years of operating data." sqref="AA2" xr:uid="{00000000-0002-0000-1000-000001000000}">
      <formula1>"0,1,2,3"</formula1>
    </dataValidation>
    <dataValidation type="list" allowBlank="1" showInputMessage="1" showErrorMessage="1" sqref="AA3" xr:uid="{00000000-0002-0000-1000-000002000000}">
      <formula1>"Total $/Year,Tax Rate %"</formula1>
    </dataValidation>
    <dataValidation type="decimal" operator="lessThanOrEqual" allowBlank="1" showInputMessage="1" showErrorMessage="1" sqref="S11:S13" xr:uid="{00000000-0002-0000-1000-000003000000}">
      <formula1>0</formula1>
    </dataValidation>
    <dataValidation type="list" allowBlank="1" showInputMessage="1" showErrorMessage="1" sqref="AB8" xr:uid="{630A7FA4-A5D4-49A0-9C70-67B4CD41E247}">
      <formula1>"Yes, No"</formula1>
    </dataValidation>
  </dataValidations>
  <printOptions horizontalCentered="1"/>
  <pageMargins left="0" right="0" top="1.75" bottom="0.5" header="0" footer="0"/>
  <pageSetup fitToHeight="0" orientation="landscape" cellComments="atEnd" r:id="rId1"/>
  <customProperties>
    <customPr name="GUID" r:id="rId2"/>
  </customProperties>
  <ignoredErrors>
    <ignoredError sqref="Q14" formula="1"/>
  </ignoredErrors>
  <drawing r:id="rId3"/>
  <extLst>
    <ext xmlns:x14="http://schemas.microsoft.com/office/spreadsheetml/2009/9/main" uri="{78C0D931-6437-407d-A8EE-F0AAD7539E65}">
      <x14:conditionalFormattings>
        <x14:conditionalFormatting xmlns:xm="http://schemas.microsoft.com/office/excel/2006/main">
          <x14:cfRule type="expression" priority="42" id="{79968B13-4941-4E0A-8826-767FC61BE27B}">
            <xm:f>Input!$F$8="Disabled"</xm:f>
            <x14:dxf>
              <font>
                <color rgb="FF002855"/>
              </font>
              <fill>
                <patternFill>
                  <bgColor rgb="FFD0CECE"/>
                </patternFill>
              </fill>
              <border>
                <left/>
                <right/>
                <top style="thin">
                  <color auto="1"/>
                </top>
                <bottom style="hair">
                  <color auto="1"/>
                </bottom>
              </border>
            </x14:dxf>
          </x14:cfRule>
          <xm:sqref>O4 Q4</xm:sqref>
        </x14:conditionalFormatting>
        <x14:conditionalFormatting xmlns:xm="http://schemas.microsoft.com/office/excel/2006/main">
          <x14:cfRule type="expression" priority="37" id="{85864FFB-D13A-4B1F-A1B0-95BB96608B3C}">
            <xm:f>Input!$F$8="Disabled"</xm:f>
            <x14:dxf>
              <font>
                <color rgb="FF002855"/>
              </font>
              <fill>
                <patternFill>
                  <bgColor rgb="FFD0CECE"/>
                </patternFill>
              </fill>
              <border>
                <left/>
                <right/>
                <top style="thin">
                  <color auto="1"/>
                </top>
                <bottom style="hair">
                  <color auto="1"/>
                </bottom>
              </border>
            </x14:dxf>
          </x14:cfRule>
          <xm:sqref>M4</xm:sqref>
        </x14:conditionalFormatting>
        <x14:conditionalFormatting xmlns:xm="http://schemas.microsoft.com/office/excel/2006/main">
          <x14:cfRule type="expression" priority="32" id="{4B9018F2-CE1B-405D-B62A-F9830EC84D6A}">
            <xm:f>Input!$F$8="Disabled"</xm:f>
            <x14:dxf>
              <font>
                <color rgb="FF002855"/>
              </font>
              <fill>
                <patternFill>
                  <bgColor rgb="FFD0CECE"/>
                </patternFill>
              </fill>
              <border>
                <left/>
                <right/>
                <top style="thin">
                  <color auto="1"/>
                </top>
                <bottom style="hair">
                  <color auto="1"/>
                </bottom>
              </border>
            </x14:dxf>
          </x14:cfRule>
          <xm:sqref>K4</xm:sqref>
        </x14:conditionalFormatting>
        <x14:conditionalFormatting xmlns:xm="http://schemas.microsoft.com/office/excel/2006/main">
          <x14:cfRule type="expression" priority="27" id="{7E1A7F82-3D4B-4B16-9590-C56536C184DF}">
            <xm:f>Input!$F$8="Disabled"</xm:f>
            <x14:dxf>
              <font>
                <color rgb="FF002855"/>
              </font>
              <fill>
                <patternFill>
                  <bgColor rgb="FFD0CECE"/>
                </patternFill>
              </fill>
              <border>
                <left/>
                <right/>
                <top style="thin">
                  <color auto="1"/>
                </top>
                <bottom style="hair">
                  <color auto="1"/>
                </bottom>
              </border>
            </x14:dxf>
          </x14:cfRule>
          <xm:sqref>I4</xm:sqref>
        </x14:conditionalFormatting>
        <x14:conditionalFormatting xmlns:xm="http://schemas.microsoft.com/office/excel/2006/main">
          <x14:cfRule type="expression" priority="8" id="{89F54BC5-9A51-4359-8C52-4653F2DA53C9}">
            <xm:f>Input!$F$8="Disabled"</xm:f>
            <x14:dxf>
              <font>
                <color theme="0"/>
              </font>
              <fill>
                <patternFill>
                  <bgColor theme="3"/>
                </patternFill>
              </fill>
              <border>
                <left/>
                <right/>
                <top style="thin">
                  <color auto="1"/>
                </top>
                <bottom style="hair">
                  <color auto="1"/>
                </bottom>
              </border>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92D050"/>
  </sheetPr>
  <dimension ref="A1:R85"/>
  <sheetViews>
    <sheetView showGridLines="0" zoomScale="140" zoomScaleNormal="140" zoomScaleSheetLayoutView="96" workbookViewId="0">
      <selection activeCell="F11" sqref="F11"/>
    </sheetView>
  </sheetViews>
  <sheetFormatPr defaultColWidth="8.85546875" defaultRowHeight="9"/>
  <cols>
    <col min="1" max="1" width="3.85546875" style="21" customWidth="1"/>
    <col min="2" max="2" width="5.42578125" style="21" customWidth="1"/>
    <col min="3" max="3" width="6.140625" style="21" customWidth="1"/>
    <col min="4" max="4" width="115" style="21" customWidth="1"/>
    <col min="5" max="5" width="18.140625" style="21" customWidth="1"/>
    <col min="6" max="16384" width="8.85546875" style="21"/>
  </cols>
  <sheetData>
    <row r="1" spans="1:18" ht="13.5" customHeight="1">
      <c r="A1" s="589"/>
      <c r="B1" s="589"/>
      <c r="C1" s="758"/>
      <c r="D1" s="746" t="s">
        <v>1721</v>
      </c>
      <c r="E1" s="589"/>
      <c r="F1" s="690"/>
      <c r="G1" s="690"/>
      <c r="H1" s="589"/>
      <c r="I1" s="589"/>
      <c r="J1" s="589"/>
      <c r="K1" s="589"/>
      <c r="L1" s="589"/>
      <c r="M1" s="589"/>
      <c r="N1" s="589"/>
      <c r="O1" s="589"/>
      <c r="P1" s="589"/>
      <c r="Q1" s="589"/>
      <c r="R1" s="589"/>
    </row>
    <row r="2" spans="1:18" ht="13.5" customHeight="1">
      <c r="A2" s="589"/>
      <c r="B2" s="589"/>
      <c r="C2" s="589"/>
      <c r="D2" s="589"/>
      <c r="E2" s="589"/>
      <c r="F2" s="690"/>
      <c r="G2" s="690"/>
      <c r="H2" s="589"/>
      <c r="I2" s="589"/>
      <c r="J2" s="589"/>
      <c r="K2" s="589"/>
      <c r="L2" s="589"/>
      <c r="M2" s="589"/>
      <c r="N2" s="589"/>
      <c r="O2" s="589"/>
      <c r="P2" s="589"/>
      <c r="Q2" s="589"/>
      <c r="R2" s="589"/>
    </row>
    <row r="3" spans="1:18" s="55" customFormat="1" ht="13.5" customHeight="1">
      <c r="A3" s="636"/>
      <c r="B3" s="636"/>
      <c r="C3" s="1593" t="s">
        <v>1746</v>
      </c>
      <c r="D3" s="1593"/>
      <c r="E3" s="636"/>
      <c r="F3" s="692"/>
      <c r="G3" s="692"/>
      <c r="H3" s="636"/>
      <c r="I3" s="636"/>
      <c r="J3" s="636"/>
      <c r="K3" s="636"/>
      <c r="L3" s="636"/>
      <c r="M3" s="636"/>
      <c r="N3" s="636"/>
      <c r="O3" s="636"/>
      <c r="P3" s="636"/>
      <c r="Q3" s="636"/>
      <c r="R3" s="636"/>
    </row>
    <row r="4" spans="1:18" s="55" customFormat="1" ht="25.5">
      <c r="A4" s="636"/>
      <c r="B4" s="636"/>
      <c r="C4" s="1553">
        <v>1</v>
      </c>
      <c r="D4" s="1556" t="s">
        <v>1936</v>
      </c>
      <c r="E4" s="637"/>
      <c r="F4" s="692"/>
      <c r="G4" s="692"/>
      <c r="H4" s="636"/>
      <c r="I4" s="636"/>
      <c r="J4" s="636"/>
      <c r="K4" s="636"/>
      <c r="L4" s="636"/>
      <c r="M4" s="636"/>
      <c r="N4" s="636"/>
      <c r="O4" s="636"/>
      <c r="P4" s="636"/>
      <c r="Q4" s="636"/>
      <c r="R4" s="636"/>
    </row>
    <row r="5" spans="1:18" s="55" customFormat="1" ht="25.5">
      <c r="A5" s="636"/>
      <c r="B5" s="636"/>
      <c r="C5" s="1554">
        <v>2</v>
      </c>
      <c r="D5" s="1557" t="s">
        <v>1949</v>
      </c>
      <c r="E5" s="637"/>
      <c r="F5" s="692"/>
      <c r="G5" s="692"/>
      <c r="H5" s="636"/>
      <c r="I5" s="636"/>
      <c r="J5" s="636"/>
      <c r="K5" s="636"/>
      <c r="L5" s="636"/>
      <c r="M5" s="636"/>
      <c r="N5" s="636"/>
      <c r="O5" s="636"/>
      <c r="P5" s="636"/>
      <c r="Q5" s="636"/>
      <c r="R5" s="636"/>
    </row>
    <row r="6" spans="1:18" s="55" customFormat="1" ht="25.5">
      <c r="A6" s="636"/>
      <c r="B6" s="636"/>
      <c r="C6" s="1554">
        <v>3</v>
      </c>
      <c r="D6" s="1557" t="s">
        <v>1937</v>
      </c>
      <c r="E6" s="767"/>
      <c r="F6" s="692"/>
      <c r="G6" s="692"/>
      <c r="H6" s="636"/>
      <c r="I6" s="636"/>
      <c r="J6" s="636"/>
      <c r="K6" s="636"/>
      <c r="L6" s="636"/>
      <c r="M6" s="636"/>
      <c r="N6" s="636"/>
      <c r="O6" s="636"/>
      <c r="P6" s="636"/>
      <c r="Q6" s="636"/>
      <c r="R6" s="636"/>
    </row>
    <row r="7" spans="1:18" s="55" customFormat="1" ht="25.5">
      <c r="A7" s="636"/>
      <c r="B7" s="636"/>
      <c r="C7" s="1554">
        <v>4</v>
      </c>
      <c r="D7" s="1557" t="s">
        <v>1938</v>
      </c>
      <c r="E7" s="767"/>
      <c r="F7" s="692"/>
      <c r="G7" s="692"/>
      <c r="H7" s="636"/>
      <c r="I7" s="636"/>
      <c r="J7" s="636"/>
      <c r="K7" s="636"/>
      <c r="L7" s="636"/>
      <c r="M7" s="636"/>
      <c r="N7" s="636"/>
      <c r="O7" s="636"/>
      <c r="P7" s="636"/>
      <c r="Q7" s="636"/>
      <c r="R7" s="636"/>
    </row>
    <row r="8" spans="1:18" s="55" customFormat="1" ht="16.5">
      <c r="A8" s="636"/>
      <c r="B8" s="636"/>
      <c r="C8" s="1554">
        <v>5</v>
      </c>
      <c r="D8" s="1557" t="s">
        <v>1939</v>
      </c>
      <c r="E8" s="767"/>
      <c r="F8" s="692"/>
      <c r="G8" s="692"/>
      <c r="H8" s="636"/>
      <c r="I8" s="636"/>
      <c r="J8" s="636"/>
      <c r="K8" s="636"/>
      <c r="L8" s="636"/>
      <c r="M8" s="636"/>
      <c r="N8" s="636"/>
      <c r="O8" s="636"/>
      <c r="P8" s="636"/>
      <c r="Q8" s="636"/>
      <c r="R8" s="636"/>
    </row>
    <row r="9" spans="1:18" s="55" customFormat="1" ht="16.5">
      <c r="A9" s="636"/>
      <c r="B9" s="636"/>
      <c r="C9" s="1554">
        <v>6</v>
      </c>
      <c r="D9" s="1557" t="s">
        <v>1940</v>
      </c>
      <c r="E9" s="767"/>
      <c r="F9" s="692"/>
      <c r="G9" s="692"/>
      <c r="H9" s="636"/>
      <c r="I9" s="636"/>
      <c r="J9" s="636"/>
      <c r="K9" s="636"/>
      <c r="L9" s="636"/>
      <c r="M9" s="636"/>
      <c r="N9" s="636"/>
      <c r="O9" s="636"/>
      <c r="P9" s="636"/>
      <c r="Q9" s="636"/>
      <c r="R9" s="636"/>
    </row>
    <row r="10" spans="1:18" s="55" customFormat="1" ht="25.5">
      <c r="A10" s="636"/>
      <c r="B10" s="636"/>
      <c r="C10" s="1554">
        <v>7</v>
      </c>
      <c r="D10" s="1557" t="s">
        <v>1941</v>
      </c>
      <c r="E10" s="767"/>
      <c r="F10" s="692"/>
      <c r="G10" s="692"/>
      <c r="H10" s="636"/>
      <c r="I10" s="636"/>
      <c r="J10" s="636"/>
      <c r="K10" s="636"/>
      <c r="L10" s="636"/>
      <c r="M10" s="636"/>
      <c r="N10" s="636"/>
      <c r="O10" s="636"/>
      <c r="P10" s="636"/>
      <c r="Q10" s="636"/>
      <c r="R10" s="636"/>
    </row>
    <row r="11" spans="1:18" s="55" customFormat="1" ht="16.5">
      <c r="A11" s="636"/>
      <c r="B11" s="636"/>
      <c r="C11" s="1554">
        <v>8</v>
      </c>
      <c r="D11" s="1557" t="s">
        <v>1942</v>
      </c>
      <c r="E11" s="767"/>
      <c r="F11" s="692"/>
      <c r="G11" s="692"/>
      <c r="H11" s="636"/>
      <c r="I11" s="636"/>
      <c r="J11" s="636"/>
      <c r="K11" s="636"/>
      <c r="L11" s="636"/>
      <c r="M11" s="636"/>
      <c r="N11" s="636"/>
      <c r="O11" s="636"/>
      <c r="P11" s="636"/>
      <c r="Q11" s="636"/>
      <c r="R11" s="636"/>
    </row>
    <row r="12" spans="1:18" s="55" customFormat="1" ht="16.5">
      <c r="A12" s="636"/>
      <c r="B12" s="636"/>
      <c r="C12" s="1554">
        <v>9</v>
      </c>
      <c r="D12" s="1557" t="s">
        <v>1943</v>
      </c>
      <c r="E12" s="767"/>
      <c r="F12" s="692"/>
      <c r="G12" s="692"/>
      <c r="H12" s="636"/>
      <c r="I12" s="636"/>
      <c r="J12" s="636"/>
      <c r="K12" s="636"/>
      <c r="L12" s="636"/>
      <c r="M12" s="636"/>
      <c r="N12" s="636"/>
      <c r="O12" s="636"/>
      <c r="P12" s="636"/>
      <c r="Q12" s="636"/>
      <c r="R12" s="636"/>
    </row>
    <row r="13" spans="1:18" s="55" customFormat="1" ht="25.5">
      <c r="A13" s="636"/>
      <c r="B13" s="636"/>
      <c r="C13" s="1554">
        <v>10</v>
      </c>
      <c r="D13" s="1557" t="s">
        <v>1944</v>
      </c>
      <c r="E13" s="767"/>
      <c r="F13" s="692"/>
      <c r="G13" s="692"/>
      <c r="H13" s="636"/>
      <c r="I13" s="636"/>
      <c r="J13" s="636"/>
      <c r="K13" s="636"/>
      <c r="L13" s="636"/>
      <c r="M13" s="636"/>
      <c r="N13" s="636"/>
      <c r="O13" s="636"/>
      <c r="P13" s="636"/>
      <c r="Q13" s="636"/>
      <c r="R13" s="636"/>
    </row>
    <row r="14" spans="1:18" s="55" customFormat="1" ht="16.5">
      <c r="A14" s="636"/>
      <c r="B14" s="636"/>
      <c r="C14" s="1554">
        <v>11</v>
      </c>
      <c r="D14" s="1557" t="s">
        <v>1945</v>
      </c>
      <c r="E14" s="767"/>
      <c r="F14" s="692"/>
      <c r="G14" s="692"/>
      <c r="H14" s="636"/>
      <c r="I14" s="636"/>
      <c r="J14" s="636"/>
      <c r="K14" s="636"/>
      <c r="L14" s="636"/>
      <c r="M14" s="636"/>
      <c r="N14" s="636"/>
      <c r="O14" s="636"/>
      <c r="P14" s="636"/>
      <c r="Q14" s="636"/>
      <c r="R14" s="636"/>
    </row>
    <row r="15" spans="1:18" s="55" customFormat="1" ht="25.5">
      <c r="A15" s="636"/>
      <c r="B15" s="636"/>
      <c r="C15" s="1554">
        <v>12</v>
      </c>
      <c r="D15" s="1557" t="s">
        <v>1946</v>
      </c>
      <c r="E15" s="767"/>
      <c r="F15" s="692"/>
      <c r="G15" s="692"/>
      <c r="H15" s="636"/>
      <c r="I15" s="636"/>
      <c r="J15" s="636"/>
      <c r="K15" s="636"/>
      <c r="L15" s="636"/>
      <c r="M15" s="636"/>
      <c r="N15" s="636"/>
      <c r="O15" s="636"/>
      <c r="P15" s="636"/>
      <c r="Q15" s="636"/>
      <c r="R15" s="636"/>
    </row>
    <row r="16" spans="1:18" s="55" customFormat="1" ht="16.5">
      <c r="A16" s="636"/>
      <c r="B16" s="636"/>
      <c r="C16" s="1555">
        <v>13</v>
      </c>
      <c r="D16" s="1558" t="s">
        <v>1947</v>
      </c>
      <c r="E16" s="767"/>
      <c r="F16" s="692"/>
      <c r="G16" s="692"/>
      <c r="H16" s="636"/>
      <c r="I16" s="636"/>
      <c r="J16" s="636"/>
      <c r="K16" s="636"/>
      <c r="L16" s="636"/>
      <c r="M16" s="636"/>
      <c r="N16" s="636"/>
      <c r="O16" s="636"/>
      <c r="P16" s="636"/>
      <c r="Q16" s="636"/>
      <c r="R16" s="636"/>
    </row>
    <row r="17" spans="1:18" s="55" customFormat="1" ht="13.5" hidden="1" customHeight="1">
      <c r="A17" s="636"/>
      <c r="B17" s="636"/>
      <c r="C17" s="1348">
        <v>14</v>
      </c>
      <c r="D17" s="1349"/>
      <c r="E17" s="767"/>
      <c r="F17" s="692"/>
      <c r="G17" s="692"/>
      <c r="H17" s="636"/>
      <c r="I17" s="636"/>
      <c r="J17" s="636"/>
      <c r="K17" s="636"/>
      <c r="L17" s="636"/>
      <c r="M17" s="636"/>
      <c r="N17" s="636"/>
      <c r="O17" s="636"/>
      <c r="P17" s="636"/>
      <c r="Q17" s="636"/>
      <c r="R17" s="636"/>
    </row>
    <row r="18" spans="1:18" ht="13.5" hidden="1" customHeight="1">
      <c r="A18" s="589"/>
      <c r="B18" s="589"/>
      <c r="C18" s="1348">
        <v>15</v>
      </c>
      <c r="D18" s="1349"/>
      <c r="E18" s="768"/>
      <c r="F18" s="690"/>
      <c r="G18" s="690"/>
      <c r="H18" s="589"/>
      <c r="I18" s="589"/>
      <c r="J18" s="589"/>
      <c r="K18" s="589"/>
      <c r="L18" s="589"/>
      <c r="M18" s="589"/>
      <c r="N18" s="589"/>
      <c r="O18" s="589"/>
      <c r="P18" s="589"/>
      <c r="Q18" s="589"/>
      <c r="R18" s="589"/>
    </row>
    <row r="19" spans="1:18" s="55" customFormat="1" ht="13.5" hidden="1" customHeight="1">
      <c r="A19" s="636"/>
      <c r="B19" s="636"/>
      <c r="C19" s="1348">
        <v>16</v>
      </c>
      <c r="D19" s="1349"/>
      <c r="E19" s="636"/>
      <c r="F19" s="692"/>
      <c r="G19" s="692"/>
      <c r="H19" s="636"/>
      <c r="I19" s="636"/>
      <c r="J19" s="636"/>
      <c r="K19" s="636"/>
      <c r="L19" s="636"/>
      <c r="M19" s="636"/>
      <c r="N19" s="636"/>
      <c r="O19" s="636"/>
      <c r="P19" s="636"/>
      <c r="Q19" s="636"/>
      <c r="R19" s="636"/>
    </row>
    <row r="20" spans="1:18" s="55" customFormat="1" ht="13.5" hidden="1" customHeight="1">
      <c r="A20" s="636"/>
      <c r="B20" s="636"/>
      <c r="C20" s="1348">
        <v>17</v>
      </c>
      <c r="D20" s="1349"/>
      <c r="E20" s="637"/>
      <c r="F20" s="692"/>
      <c r="G20" s="692"/>
      <c r="H20" s="636"/>
      <c r="I20" s="636"/>
      <c r="J20" s="636"/>
      <c r="K20" s="636"/>
      <c r="L20" s="636"/>
      <c r="M20" s="636"/>
      <c r="N20" s="636"/>
      <c r="O20" s="636"/>
      <c r="P20" s="636"/>
      <c r="Q20" s="636"/>
      <c r="R20" s="636"/>
    </row>
    <row r="21" spans="1:18" s="55" customFormat="1" ht="13.5" hidden="1" customHeight="1">
      <c r="A21" s="636"/>
      <c r="B21" s="636"/>
      <c r="C21" s="1348">
        <v>18</v>
      </c>
      <c r="D21" s="1349"/>
      <c r="E21" s="637"/>
      <c r="F21" s="692"/>
      <c r="G21" s="692"/>
      <c r="H21" s="636"/>
      <c r="I21" s="636"/>
      <c r="J21" s="636"/>
      <c r="K21" s="636"/>
      <c r="L21" s="636"/>
      <c r="M21" s="636"/>
      <c r="N21" s="636"/>
      <c r="O21" s="636"/>
      <c r="P21" s="636"/>
      <c r="Q21" s="636"/>
      <c r="R21" s="636"/>
    </row>
    <row r="22" spans="1:18" s="55" customFormat="1" ht="13.5" hidden="1" customHeight="1">
      <c r="A22" s="636"/>
      <c r="B22" s="636"/>
      <c r="C22" s="1348">
        <v>19</v>
      </c>
      <c r="D22" s="1349"/>
      <c r="E22" s="637"/>
      <c r="F22" s="692"/>
      <c r="G22" s="692"/>
      <c r="H22" s="636"/>
      <c r="I22" s="636"/>
      <c r="J22" s="636"/>
      <c r="K22" s="636"/>
      <c r="L22" s="636"/>
      <c r="M22" s="636"/>
      <c r="N22" s="636"/>
      <c r="O22" s="636"/>
      <c r="P22" s="636"/>
      <c r="Q22" s="636"/>
      <c r="R22" s="636"/>
    </row>
    <row r="23" spans="1:18" s="55" customFormat="1" ht="13.5" hidden="1" customHeight="1">
      <c r="A23" s="636"/>
      <c r="B23" s="636"/>
      <c r="C23" s="1348">
        <v>20</v>
      </c>
      <c r="D23" s="1349"/>
      <c r="E23" s="637"/>
      <c r="F23" s="692"/>
      <c r="G23" s="692"/>
      <c r="H23" s="636"/>
      <c r="I23" s="636"/>
      <c r="J23" s="636"/>
      <c r="K23" s="636"/>
      <c r="L23" s="636"/>
      <c r="M23" s="636"/>
      <c r="N23" s="636"/>
      <c r="O23" s="636"/>
      <c r="P23" s="636"/>
      <c r="Q23" s="636"/>
      <c r="R23" s="636"/>
    </row>
    <row r="24" spans="1:18" s="55" customFormat="1" ht="13.5" hidden="1" customHeight="1">
      <c r="A24" s="636"/>
      <c r="B24" s="636"/>
      <c r="C24" s="1348">
        <v>21</v>
      </c>
      <c r="D24" s="1349"/>
      <c r="E24" s="637"/>
      <c r="F24" s="692"/>
      <c r="G24" s="692"/>
      <c r="H24" s="636"/>
      <c r="I24" s="636"/>
      <c r="J24" s="636"/>
      <c r="K24" s="636"/>
      <c r="L24" s="636"/>
      <c r="M24" s="636"/>
      <c r="N24" s="636"/>
      <c r="O24" s="636"/>
      <c r="P24" s="636"/>
      <c r="Q24" s="636"/>
      <c r="R24" s="636"/>
    </row>
    <row r="25" spans="1:18" s="55" customFormat="1" ht="13.5" hidden="1" customHeight="1">
      <c r="A25" s="636"/>
      <c r="B25" s="636"/>
      <c r="C25" s="1348">
        <v>22</v>
      </c>
      <c r="D25" s="1349"/>
      <c r="E25" s="767"/>
      <c r="F25" s="692"/>
      <c r="G25" s="692"/>
      <c r="H25" s="636"/>
      <c r="I25" s="636"/>
      <c r="J25" s="636"/>
      <c r="K25" s="636"/>
      <c r="L25" s="636"/>
      <c r="M25" s="636"/>
      <c r="N25" s="636"/>
      <c r="O25" s="636"/>
      <c r="P25" s="636"/>
      <c r="Q25" s="636"/>
      <c r="R25" s="636"/>
    </row>
    <row r="26" spans="1:18" s="55" customFormat="1" ht="13.5" hidden="1" customHeight="1">
      <c r="A26" s="636"/>
      <c r="B26" s="636"/>
      <c r="C26" s="1348">
        <v>23</v>
      </c>
      <c r="D26" s="1349"/>
      <c r="E26" s="767"/>
      <c r="F26" s="692"/>
      <c r="G26" s="692"/>
      <c r="H26" s="636"/>
      <c r="I26" s="636"/>
      <c r="J26" s="636"/>
      <c r="K26" s="636"/>
      <c r="L26" s="636"/>
      <c r="M26" s="636"/>
      <c r="N26" s="636"/>
      <c r="O26" s="636"/>
      <c r="P26" s="636"/>
      <c r="Q26" s="636"/>
      <c r="R26" s="636"/>
    </row>
    <row r="27" spans="1:18" s="55" customFormat="1" ht="13.5" hidden="1" customHeight="1">
      <c r="A27" s="636"/>
      <c r="B27" s="636"/>
      <c r="C27" s="1348">
        <v>24</v>
      </c>
      <c r="D27" s="1349"/>
      <c r="E27" s="767"/>
      <c r="F27" s="692"/>
      <c r="G27" s="692"/>
      <c r="H27" s="636"/>
      <c r="I27" s="636"/>
      <c r="J27" s="636"/>
      <c r="K27" s="636"/>
      <c r="L27" s="636"/>
      <c r="M27" s="636"/>
      <c r="N27" s="636"/>
      <c r="O27" s="636"/>
      <c r="P27" s="636"/>
      <c r="Q27" s="636"/>
      <c r="R27" s="636"/>
    </row>
    <row r="28" spans="1:18" s="55" customFormat="1" ht="13.5" hidden="1" customHeight="1">
      <c r="A28" s="636"/>
      <c r="B28" s="636"/>
      <c r="C28" s="1348">
        <v>25</v>
      </c>
      <c r="D28" s="1349"/>
      <c r="E28" s="767"/>
      <c r="F28" s="692"/>
      <c r="G28" s="692"/>
      <c r="H28" s="636"/>
      <c r="I28" s="636"/>
      <c r="J28" s="636"/>
      <c r="K28" s="636"/>
      <c r="L28" s="636"/>
      <c r="M28" s="636"/>
      <c r="N28" s="636"/>
      <c r="O28" s="636"/>
      <c r="P28" s="636"/>
      <c r="Q28" s="636"/>
      <c r="R28" s="636"/>
    </row>
    <row r="29" spans="1:18" s="55" customFormat="1" ht="13.5" hidden="1" customHeight="1">
      <c r="A29" s="636"/>
      <c r="B29" s="636"/>
      <c r="C29" s="1348">
        <v>26</v>
      </c>
      <c r="D29" s="1349"/>
      <c r="E29" s="767"/>
      <c r="F29" s="692"/>
      <c r="G29" s="692"/>
      <c r="H29" s="636"/>
      <c r="I29" s="636"/>
      <c r="J29" s="636"/>
      <c r="K29" s="636"/>
      <c r="L29" s="636"/>
      <c r="M29" s="636"/>
      <c r="N29" s="636"/>
      <c r="O29" s="636"/>
      <c r="P29" s="636"/>
      <c r="Q29" s="636"/>
      <c r="R29" s="636"/>
    </row>
    <row r="30" spans="1:18" s="55" customFormat="1" ht="13.5" hidden="1" customHeight="1">
      <c r="A30" s="636"/>
      <c r="B30" s="636"/>
      <c r="C30" s="1350">
        <v>27</v>
      </c>
      <c r="D30" s="1351"/>
      <c r="E30" s="637"/>
      <c r="F30" s="692"/>
      <c r="G30" s="692"/>
      <c r="H30" s="636"/>
      <c r="I30" s="636"/>
      <c r="J30" s="636"/>
      <c r="K30" s="636"/>
      <c r="L30" s="636"/>
      <c r="M30" s="636"/>
      <c r="N30" s="636"/>
      <c r="O30" s="636"/>
      <c r="P30" s="636"/>
      <c r="Q30" s="636"/>
      <c r="R30" s="636"/>
    </row>
    <row r="31" spans="1:18" s="55" customFormat="1" ht="13.5" customHeight="1">
      <c r="A31" s="636"/>
      <c r="B31" s="636"/>
      <c r="C31" s="769"/>
      <c r="D31" s="770"/>
      <c r="E31" s="767"/>
      <c r="F31" s="692"/>
      <c r="G31" s="692"/>
      <c r="H31" s="636"/>
      <c r="I31" s="636"/>
      <c r="J31" s="636"/>
      <c r="K31" s="636"/>
      <c r="L31" s="636"/>
      <c r="M31" s="636"/>
      <c r="N31" s="636"/>
      <c r="O31" s="636"/>
      <c r="P31" s="636"/>
      <c r="Q31" s="636"/>
      <c r="R31" s="636"/>
    </row>
    <row r="32" spans="1:18" s="55" customFormat="1" ht="13.5" customHeight="1">
      <c r="A32" s="636"/>
      <c r="B32" s="636"/>
      <c r="C32" s="636"/>
      <c r="D32" s="636"/>
      <c r="E32" s="637"/>
      <c r="F32" s="692"/>
      <c r="G32" s="692"/>
      <c r="H32" s="636"/>
      <c r="I32" s="636"/>
      <c r="J32" s="636"/>
      <c r="K32" s="636"/>
      <c r="L32" s="636"/>
      <c r="M32" s="636"/>
      <c r="N32" s="636"/>
      <c r="O32" s="636"/>
      <c r="P32" s="636"/>
      <c r="Q32" s="636"/>
      <c r="R32" s="636"/>
    </row>
    <row r="33" spans="1:18" s="55" customFormat="1" ht="13.5" customHeight="1">
      <c r="A33" s="636"/>
      <c r="B33" s="636"/>
      <c r="C33" s="636"/>
      <c r="D33" s="636"/>
      <c r="E33" s="637"/>
      <c r="F33" s="692"/>
      <c r="G33" s="692"/>
      <c r="H33" s="636"/>
      <c r="I33" s="636"/>
      <c r="J33" s="636"/>
      <c r="K33" s="636"/>
      <c r="L33" s="636"/>
      <c r="M33" s="636"/>
      <c r="N33" s="636"/>
      <c r="O33" s="636"/>
      <c r="P33" s="636"/>
      <c r="Q33" s="636"/>
      <c r="R33" s="636"/>
    </row>
    <row r="34" spans="1:18" ht="13.5" customHeight="1">
      <c r="A34" s="589"/>
      <c r="B34" s="589"/>
      <c r="C34" s="638"/>
      <c r="D34" s="600"/>
      <c r="E34" s="639"/>
      <c r="F34" s="690"/>
      <c r="G34" s="690"/>
      <c r="H34" s="589"/>
      <c r="I34" s="589"/>
      <c r="J34" s="589"/>
      <c r="K34" s="589"/>
      <c r="L34" s="589"/>
      <c r="M34" s="589"/>
      <c r="N34" s="589"/>
      <c r="O34" s="589"/>
      <c r="P34" s="589"/>
      <c r="Q34" s="589"/>
      <c r="R34" s="589"/>
    </row>
    <row r="35" spans="1:18" ht="13.5" customHeight="1">
      <c r="A35" s="589"/>
      <c r="B35" s="589"/>
      <c r="C35" s="638"/>
      <c r="D35" s="600"/>
      <c r="E35" s="639"/>
      <c r="F35" s="589"/>
      <c r="G35" s="589"/>
      <c r="H35" s="589"/>
      <c r="I35" s="589"/>
      <c r="J35" s="589"/>
      <c r="K35" s="589"/>
      <c r="L35" s="589"/>
      <c r="M35" s="589"/>
      <c r="N35" s="589"/>
      <c r="O35" s="589"/>
      <c r="P35" s="589"/>
      <c r="Q35" s="589"/>
      <c r="R35" s="589"/>
    </row>
    <row r="36" spans="1:18" s="55" customFormat="1" ht="13.5" customHeight="1">
      <c r="A36" s="636"/>
      <c r="B36" s="636"/>
      <c r="C36" s="636"/>
      <c r="D36" s="636"/>
      <c r="E36" s="637"/>
      <c r="F36" s="636"/>
      <c r="G36" s="636"/>
      <c r="H36" s="636"/>
      <c r="I36" s="636"/>
      <c r="J36" s="636"/>
      <c r="K36" s="636"/>
      <c r="L36" s="636"/>
      <c r="M36" s="636"/>
      <c r="N36" s="636"/>
      <c r="O36" s="636"/>
      <c r="P36" s="636"/>
      <c r="Q36" s="636"/>
      <c r="R36" s="636"/>
    </row>
    <row r="37" spans="1:18" ht="13.5" customHeight="1">
      <c r="A37" s="589"/>
      <c r="B37" s="589"/>
      <c r="C37" s="589"/>
      <c r="D37" s="589"/>
      <c r="E37" s="640"/>
      <c r="F37" s="589"/>
      <c r="G37" s="589"/>
      <c r="H37" s="589"/>
      <c r="I37" s="589"/>
      <c r="J37" s="589"/>
      <c r="K37" s="589"/>
      <c r="L37" s="589"/>
      <c r="M37" s="589"/>
      <c r="N37" s="589"/>
      <c r="O37" s="589"/>
      <c r="P37" s="589"/>
      <c r="Q37" s="589"/>
      <c r="R37" s="589"/>
    </row>
    <row r="38" spans="1:18" ht="11.25" customHeight="1">
      <c r="A38" s="589"/>
      <c r="B38" s="589"/>
      <c r="C38" s="589"/>
      <c r="D38" s="597"/>
      <c r="E38" s="589"/>
      <c r="F38" s="589"/>
      <c r="G38" s="589"/>
      <c r="H38" s="589"/>
      <c r="I38" s="589"/>
      <c r="J38" s="589"/>
      <c r="K38" s="589"/>
      <c r="L38" s="589"/>
      <c r="M38" s="589"/>
      <c r="N38" s="589"/>
      <c r="O38" s="589"/>
      <c r="P38" s="589"/>
      <c r="Q38" s="589"/>
      <c r="R38" s="589"/>
    </row>
    <row r="39" spans="1:18" ht="11.25" customHeight="1">
      <c r="A39" s="589"/>
      <c r="B39" s="589"/>
      <c r="C39" s="589"/>
      <c r="D39" s="597"/>
      <c r="E39" s="589"/>
      <c r="F39" s="589"/>
      <c r="G39" s="589"/>
      <c r="H39" s="589"/>
      <c r="I39" s="589"/>
      <c r="J39" s="589"/>
      <c r="K39" s="589"/>
      <c r="L39" s="589"/>
      <c r="M39" s="589"/>
      <c r="N39" s="589"/>
      <c r="O39" s="589"/>
      <c r="P39" s="589"/>
      <c r="Q39" s="589"/>
      <c r="R39" s="589"/>
    </row>
    <row r="40" spans="1:18" ht="11.25" customHeight="1">
      <c r="A40" s="589"/>
      <c r="B40" s="589"/>
      <c r="C40" s="589"/>
      <c r="D40" s="597"/>
      <c r="E40" s="589"/>
      <c r="F40" s="589"/>
      <c r="G40" s="589"/>
      <c r="H40" s="589"/>
      <c r="I40" s="589"/>
      <c r="J40" s="589"/>
      <c r="K40" s="589"/>
      <c r="L40" s="589"/>
      <c r="M40" s="589"/>
      <c r="N40" s="589"/>
      <c r="O40" s="589"/>
      <c r="P40" s="589"/>
      <c r="Q40" s="589"/>
      <c r="R40" s="589"/>
    </row>
    <row r="41" spans="1:18" ht="11.25" customHeight="1">
      <c r="A41" s="589"/>
      <c r="B41" s="589"/>
      <c r="C41" s="589"/>
      <c r="D41" s="597"/>
      <c r="E41" s="589"/>
      <c r="F41" s="589"/>
      <c r="G41" s="589"/>
      <c r="H41" s="589"/>
      <c r="I41" s="589"/>
      <c r="J41" s="589"/>
      <c r="K41" s="589"/>
      <c r="L41" s="589"/>
      <c r="M41" s="589"/>
      <c r="N41" s="589"/>
      <c r="O41" s="589"/>
      <c r="P41" s="589"/>
      <c r="Q41" s="589"/>
      <c r="R41" s="589"/>
    </row>
    <row r="42" spans="1:18" ht="11.25" customHeight="1">
      <c r="A42" s="589"/>
      <c r="B42" s="589"/>
      <c r="C42" s="589"/>
      <c r="D42" s="597"/>
      <c r="E42" s="589"/>
      <c r="F42" s="589"/>
      <c r="G42" s="589"/>
      <c r="H42" s="589"/>
      <c r="I42" s="589"/>
      <c r="J42" s="589"/>
      <c r="K42" s="589"/>
      <c r="L42" s="589"/>
      <c r="M42" s="589"/>
      <c r="N42" s="589"/>
      <c r="O42" s="589"/>
      <c r="P42" s="589"/>
      <c r="Q42" s="589"/>
      <c r="R42" s="589"/>
    </row>
    <row r="43" spans="1:18" ht="11.25" customHeight="1">
      <c r="A43" s="589"/>
      <c r="B43" s="589"/>
      <c r="C43" s="589"/>
      <c r="D43" s="597"/>
      <c r="E43" s="589"/>
      <c r="F43" s="589"/>
      <c r="G43" s="589"/>
      <c r="H43" s="589"/>
      <c r="I43" s="589"/>
      <c r="J43" s="589"/>
      <c r="K43" s="589"/>
      <c r="L43" s="589"/>
      <c r="M43" s="589"/>
      <c r="N43" s="589"/>
      <c r="O43" s="589"/>
      <c r="P43" s="589"/>
      <c r="Q43" s="589"/>
      <c r="R43" s="589"/>
    </row>
    <row r="44" spans="1:18" ht="11.25" customHeight="1">
      <c r="A44" s="589"/>
      <c r="B44" s="589"/>
      <c r="C44" s="589"/>
      <c r="D44" s="597"/>
      <c r="E44" s="589"/>
      <c r="F44" s="589"/>
      <c r="G44" s="589"/>
      <c r="H44" s="589"/>
      <c r="I44" s="589"/>
      <c r="J44" s="589"/>
      <c r="K44" s="589"/>
      <c r="L44" s="589"/>
      <c r="M44" s="589"/>
      <c r="N44" s="589"/>
      <c r="O44" s="589"/>
      <c r="P44" s="589"/>
      <c r="Q44" s="589"/>
      <c r="R44" s="589"/>
    </row>
    <row r="45" spans="1:18" ht="11.25" customHeight="1">
      <c r="A45" s="589"/>
      <c r="B45" s="589"/>
      <c r="C45" s="589"/>
      <c r="D45" s="589"/>
      <c r="E45" s="589"/>
      <c r="F45" s="589"/>
      <c r="G45" s="589"/>
      <c r="H45" s="589"/>
      <c r="I45" s="589"/>
      <c r="J45" s="589"/>
      <c r="K45" s="589"/>
      <c r="L45" s="589"/>
      <c r="M45" s="589"/>
      <c r="N45" s="589"/>
      <c r="O45" s="589"/>
      <c r="P45" s="589"/>
      <c r="Q45" s="589"/>
      <c r="R45" s="589"/>
    </row>
    <row r="46" spans="1:18" ht="11.25" customHeight="1">
      <c r="A46" s="589"/>
      <c r="B46" s="589"/>
      <c r="C46" s="589"/>
      <c r="D46" s="589"/>
      <c r="E46" s="589"/>
      <c r="F46" s="589"/>
      <c r="G46" s="589"/>
      <c r="H46" s="589"/>
      <c r="I46" s="589"/>
      <c r="J46" s="589"/>
      <c r="K46" s="589"/>
      <c r="L46" s="589"/>
      <c r="M46" s="589"/>
      <c r="N46" s="589"/>
      <c r="O46" s="589"/>
      <c r="P46" s="589"/>
      <c r="Q46" s="589"/>
      <c r="R46" s="589"/>
    </row>
    <row r="47" spans="1:18">
      <c r="A47" s="589"/>
      <c r="B47" s="589"/>
      <c r="C47" s="589"/>
      <c r="D47" s="589"/>
      <c r="E47" s="589"/>
      <c r="F47" s="589"/>
      <c r="G47" s="589"/>
      <c r="H47" s="589"/>
      <c r="I47" s="589"/>
      <c r="J47" s="589"/>
      <c r="K47" s="589"/>
      <c r="L47" s="589"/>
      <c r="M47" s="589"/>
      <c r="N47" s="589"/>
      <c r="O47" s="589"/>
      <c r="P47" s="589"/>
      <c r="Q47" s="589"/>
      <c r="R47" s="589"/>
    </row>
    <row r="48" spans="1:18">
      <c r="A48" s="589"/>
      <c r="B48" s="589"/>
      <c r="C48" s="589"/>
      <c r="D48" s="589"/>
      <c r="E48" s="589"/>
      <c r="F48" s="589"/>
      <c r="G48" s="589"/>
      <c r="H48" s="589"/>
      <c r="I48" s="589"/>
      <c r="J48" s="589"/>
      <c r="K48" s="589"/>
      <c r="L48" s="589"/>
      <c r="M48" s="589"/>
      <c r="N48" s="589"/>
      <c r="O48" s="589"/>
      <c r="P48" s="589"/>
      <c r="Q48" s="589"/>
      <c r="R48" s="589"/>
    </row>
    <row r="49" spans="1:18">
      <c r="A49" s="589"/>
      <c r="B49" s="589"/>
      <c r="C49" s="589"/>
      <c r="D49" s="589"/>
      <c r="E49" s="589"/>
      <c r="F49" s="589"/>
      <c r="G49" s="589"/>
      <c r="H49" s="589"/>
      <c r="I49" s="589"/>
      <c r="J49" s="589"/>
      <c r="K49" s="589"/>
      <c r="L49" s="589"/>
      <c r="M49" s="589"/>
      <c r="N49" s="589"/>
      <c r="O49" s="589"/>
      <c r="P49" s="589"/>
      <c r="Q49" s="589"/>
      <c r="R49" s="589"/>
    </row>
    <row r="50" spans="1:18">
      <c r="A50" s="589"/>
      <c r="B50" s="589"/>
      <c r="C50" s="589"/>
      <c r="D50" s="589"/>
      <c r="E50" s="589"/>
      <c r="F50" s="589"/>
      <c r="G50" s="589"/>
      <c r="H50" s="589"/>
      <c r="I50" s="589"/>
      <c r="J50" s="589"/>
      <c r="K50" s="589"/>
      <c r="L50" s="589"/>
      <c r="M50" s="589"/>
      <c r="N50" s="589"/>
      <c r="O50" s="589"/>
      <c r="P50" s="589"/>
      <c r="Q50" s="589"/>
      <c r="R50" s="589"/>
    </row>
    <row r="51" spans="1:18">
      <c r="A51" s="589"/>
      <c r="B51" s="589"/>
      <c r="C51" s="589"/>
      <c r="D51" s="589"/>
      <c r="E51" s="589"/>
      <c r="F51" s="589"/>
      <c r="G51" s="589"/>
      <c r="H51" s="589"/>
      <c r="I51" s="589"/>
      <c r="J51" s="589"/>
      <c r="K51" s="589"/>
      <c r="L51" s="589"/>
      <c r="M51" s="589"/>
      <c r="N51" s="589"/>
      <c r="O51" s="589"/>
      <c r="P51" s="589"/>
      <c r="Q51" s="589"/>
      <c r="R51" s="589"/>
    </row>
    <row r="52" spans="1:18">
      <c r="A52" s="589"/>
      <c r="B52" s="589"/>
      <c r="C52" s="589"/>
      <c r="D52" s="589"/>
      <c r="E52" s="589"/>
      <c r="F52" s="589"/>
      <c r="G52" s="589"/>
      <c r="H52" s="589"/>
      <c r="I52" s="589"/>
      <c r="J52" s="589"/>
      <c r="K52" s="589"/>
      <c r="L52" s="589"/>
      <c r="M52" s="589"/>
      <c r="N52" s="589"/>
      <c r="O52" s="589"/>
      <c r="P52" s="589"/>
      <c r="Q52" s="589"/>
      <c r="R52" s="589"/>
    </row>
    <row r="53" spans="1:18">
      <c r="A53" s="589"/>
      <c r="B53" s="589"/>
      <c r="C53" s="589"/>
      <c r="D53" s="589"/>
      <c r="E53" s="589"/>
      <c r="F53" s="589"/>
      <c r="G53" s="589"/>
      <c r="H53" s="589"/>
      <c r="I53" s="589"/>
      <c r="J53" s="589"/>
      <c r="K53" s="589"/>
      <c r="L53" s="589"/>
      <c r="M53" s="589"/>
      <c r="N53" s="589"/>
      <c r="O53" s="589"/>
      <c r="P53" s="589"/>
      <c r="Q53" s="589"/>
      <c r="R53" s="589"/>
    </row>
    <row r="54" spans="1:18">
      <c r="A54" s="589"/>
      <c r="B54" s="589"/>
      <c r="C54" s="589"/>
      <c r="D54" s="589"/>
      <c r="E54" s="589"/>
      <c r="F54" s="589"/>
      <c r="G54" s="589"/>
      <c r="H54" s="589"/>
      <c r="I54" s="589"/>
      <c r="J54" s="589"/>
      <c r="K54" s="589"/>
      <c r="L54" s="589"/>
      <c r="M54" s="589"/>
      <c r="N54" s="589"/>
      <c r="O54" s="589"/>
      <c r="P54" s="589"/>
      <c r="Q54" s="589"/>
      <c r="R54" s="589"/>
    </row>
    <row r="55" spans="1:18">
      <c r="A55" s="589"/>
      <c r="B55" s="589"/>
      <c r="C55" s="589"/>
      <c r="D55" s="589"/>
      <c r="E55" s="589"/>
      <c r="F55" s="589"/>
      <c r="G55" s="589"/>
      <c r="H55" s="589"/>
      <c r="I55" s="589"/>
      <c r="J55" s="589"/>
      <c r="K55" s="589"/>
      <c r="L55" s="589"/>
      <c r="M55" s="589"/>
      <c r="N55" s="589"/>
      <c r="O55" s="589"/>
      <c r="P55" s="589"/>
      <c r="Q55" s="589"/>
      <c r="R55" s="589"/>
    </row>
    <row r="56" spans="1:18">
      <c r="A56" s="589"/>
      <c r="B56" s="589"/>
      <c r="C56" s="589"/>
      <c r="D56" s="589"/>
      <c r="E56" s="589"/>
      <c r="F56" s="589"/>
      <c r="G56" s="589"/>
      <c r="H56" s="589"/>
      <c r="I56" s="589"/>
      <c r="J56" s="589"/>
      <c r="K56" s="589"/>
      <c r="L56" s="589"/>
      <c r="M56" s="589"/>
      <c r="N56" s="589"/>
      <c r="O56" s="589"/>
      <c r="P56" s="589"/>
      <c r="Q56" s="589"/>
      <c r="R56" s="589"/>
    </row>
    <row r="57" spans="1:18">
      <c r="A57" s="589"/>
      <c r="B57" s="589"/>
      <c r="C57" s="589"/>
      <c r="D57" s="589"/>
      <c r="E57" s="589"/>
      <c r="F57" s="589"/>
      <c r="G57" s="589"/>
      <c r="H57" s="589"/>
      <c r="I57" s="589"/>
      <c r="J57" s="589"/>
      <c r="K57" s="589"/>
      <c r="L57" s="589"/>
      <c r="M57" s="589"/>
      <c r="N57" s="589"/>
      <c r="O57" s="589"/>
      <c r="P57" s="589"/>
      <c r="Q57" s="589"/>
      <c r="R57" s="589"/>
    </row>
    <row r="58" spans="1:18">
      <c r="A58" s="589"/>
      <c r="B58" s="589"/>
      <c r="C58" s="589"/>
      <c r="D58" s="589"/>
      <c r="E58" s="589"/>
      <c r="F58" s="589"/>
      <c r="G58" s="589"/>
      <c r="H58" s="589"/>
      <c r="I58" s="589"/>
      <c r="J58" s="589"/>
      <c r="K58" s="589"/>
      <c r="L58" s="589"/>
      <c r="M58" s="589"/>
      <c r="N58" s="589"/>
      <c r="O58" s="589"/>
      <c r="P58" s="589"/>
      <c r="Q58" s="589"/>
      <c r="R58" s="589"/>
    </row>
    <row r="59" spans="1:18">
      <c r="A59" s="589"/>
      <c r="B59" s="589"/>
      <c r="C59" s="589"/>
      <c r="D59" s="589"/>
      <c r="E59" s="589"/>
      <c r="F59" s="589"/>
      <c r="G59" s="589"/>
      <c r="H59" s="589"/>
      <c r="I59" s="589"/>
      <c r="J59" s="589"/>
      <c r="K59" s="589"/>
      <c r="L59" s="589"/>
      <c r="M59" s="589"/>
      <c r="N59" s="589"/>
      <c r="O59" s="589"/>
      <c r="P59" s="589"/>
      <c r="Q59" s="589"/>
      <c r="R59" s="589"/>
    </row>
    <row r="60" spans="1:18">
      <c r="A60" s="589"/>
      <c r="B60" s="589"/>
      <c r="C60" s="589"/>
      <c r="D60" s="589"/>
      <c r="E60" s="589"/>
      <c r="F60" s="589"/>
      <c r="G60" s="589"/>
      <c r="H60" s="589"/>
      <c r="I60" s="589"/>
      <c r="J60" s="589"/>
      <c r="K60" s="589"/>
      <c r="L60" s="589"/>
      <c r="M60" s="589"/>
      <c r="N60" s="589"/>
      <c r="O60" s="589"/>
      <c r="P60" s="589"/>
      <c r="Q60" s="589"/>
      <c r="R60" s="589"/>
    </row>
    <row r="61" spans="1:18">
      <c r="A61" s="589"/>
      <c r="B61" s="589"/>
      <c r="C61" s="589"/>
      <c r="D61" s="589"/>
      <c r="E61" s="589"/>
      <c r="F61" s="589"/>
      <c r="G61" s="589"/>
      <c r="H61" s="589"/>
      <c r="I61" s="589"/>
      <c r="J61" s="589"/>
      <c r="K61" s="589"/>
      <c r="L61" s="589"/>
      <c r="M61" s="589"/>
      <c r="N61" s="589"/>
      <c r="O61" s="589"/>
      <c r="P61" s="589"/>
      <c r="Q61" s="589"/>
      <c r="R61" s="589"/>
    </row>
    <row r="62" spans="1:18">
      <c r="A62" s="589"/>
      <c r="B62" s="589"/>
      <c r="C62" s="589"/>
      <c r="D62" s="589"/>
      <c r="E62" s="589"/>
      <c r="F62" s="589"/>
      <c r="G62" s="589"/>
      <c r="H62" s="589"/>
      <c r="I62" s="589"/>
      <c r="J62" s="589"/>
      <c r="K62" s="589"/>
      <c r="L62" s="589"/>
      <c r="M62" s="589"/>
      <c r="N62" s="589"/>
      <c r="O62" s="589"/>
      <c r="P62" s="589"/>
      <c r="Q62" s="589"/>
      <c r="R62" s="589"/>
    </row>
    <row r="63" spans="1:18">
      <c r="A63" s="589"/>
      <c r="B63" s="589"/>
      <c r="C63" s="589"/>
      <c r="D63" s="589"/>
      <c r="E63" s="589"/>
      <c r="F63" s="589"/>
      <c r="G63" s="589"/>
      <c r="H63" s="589"/>
      <c r="I63" s="589"/>
      <c r="J63" s="589"/>
      <c r="K63" s="589"/>
      <c r="L63" s="589"/>
      <c r="M63" s="589"/>
      <c r="N63" s="589"/>
      <c r="O63" s="589"/>
      <c r="P63" s="589"/>
      <c r="Q63" s="589"/>
      <c r="R63" s="589"/>
    </row>
    <row r="64" spans="1:18">
      <c r="A64" s="589"/>
      <c r="B64" s="589"/>
      <c r="C64" s="589"/>
      <c r="D64" s="589"/>
      <c r="E64" s="589"/>
      <c r="F64" s="589"/>
      <c r="G64" s="589"/>
      <c r="H64" s="589"/>
      <c r="I64" s="589"/>
      <c r="J64" s="589"/>
      <c r="K64" s="589"/>
      <c r="L64" s="589"/>
      <c r="M64" s="589"/>
      <c r="N64" s="589"/>
      <c r="O64" s="589"/>
      <c r="P64" s="589"/>
      <c r="Q64" s="589"/>
      <c r="R64" s="589"/>
    </row>
    <row r="65" spans="1:18">
      <c r="A65" s="589"/>
      <c r="B65" s="589"/>
      <c r="C65" s="589"/>
      <c r="D65" s="589"/>
      <c r="E65" s="589"/>
      <c r="F65" s="589"/>
      <c r="G65" s="589"/>
      <c r="H65" s="589"/>
      <c r="I65" s="589"/>
      <c r="J65" s="589"/>
      <c r="K65" s="589"/>
      <c r="L65" s="589"/>
      <c r="M65" s="589"/>
      <c r="N65" s="589"/>
      <c r="O65" s="589"/>
      <c r="P65" s="589"/>
      <c r="Q65" s="589"/>
      <c r="R65" s="589"/>
    </row>
    <row r="66" spans="1:18">
      <c r="A66" s="589"/>
      <c r="B66" s="589"/>
      <c r="C66" s="589"/>
      <c r="D66" s="589"/>
      <c r="E66" s="589"/>
      <c r="F66" s="589"/>
      <c r="G66" s="589"/>
      <c r="H66" s="589"/>
      <c r="I66" s="589"/>
      <c r="J66" s="589"/>
      <c r="K66" s="589"/>
      <c r="L66" s="589"/>
      <c r="M66" s="589"/>
      <c r="N66" s="589"/>
      <c r="O66" s="589"/>
      <c r="P66" s="589"/>
      <c r="Q66" s="589"/>
      <c r="R66" s="589"/>
    </row>
    <row r="67" spans="1:18">
      <c r="A67" s="589"/>
      <c r="B67" s="589"/>
      <c r="C67" s="589"/>
      <c r="D67" s="589"/>
      <c r="E67" s="589"/>
      <c r="F67" s="589"/>
      <c r="G67" s="589"/>
      <c r="H67" s="589"/>
      <c r="I67" s="589"/>
      <c r="J67" s="589"/>
      <c r="K67" s="589"/>
      <c r="L67" s="589"/>
      <c r="M67" s="589"/>
      <c r="N67" s="589"/>
      <c r="O67" s="589"/>
      <c r="P67" s="589"/>
      <c r="Q67" s="589"/>
      <c r="R67" s="589"/>
    </row>
    <row r="68" spans="1:18">
      <c r="A68" s="589"/>
      <c r="B68" s="589"/>
      <c r="C68" s="589"/>
      <c r="D68" s="589"/>
      <c r="E68" s="589"/>
      <c r="F68" s="589"/>
      <c r="G68" s="589"/>
      <c r="H68" s="589"/>
      <c r="I68" s="589"/>
      <c r="J68" s="589"/>
      <c r="K68" s="589"/>
      <c r="L68" s="589"/>
      <c r="M68" s="589"/>
      <c r="N68" s="589"/>
      <c r="O68" s="589"/>
      <c r="P68" s="589"/>
      <c r="Q68" s="589"/>
      <c r="R68" s="589"/>
    </row>
    <row r="69" spans="1:18">
      <c r="A69" s="589"/>
      <c r="B69" s="589"/>
      <c r="C69" s="589"/>
      <c r="D69" s="589"/>
      <c r="E69" s="589"/>
      <c r="F69" s="589"/>
      <c r="G69" s="589"/>
      <c r="H69" s="589"/>
      <c r="I69" s="589"/>
      <c r="J69" s="589"/>
      <c r="K69" s="589"/>
      <c r="L69" s="589"/>
      <c r="M69" s="589"/>
      <c r="N69" s="589"/>
      <c r="O69" s="589"/>
      <c r="P69" s="589"/>
      <c r="Q69" s="589"/>
      <c r="R69" s="589"/>
    </row>
    <row r="70" spans="1:18">
      <c r="A70" s="589"/>
      <c r="B70" s="589"/>
      <c r="C70" s="589"/>
      <c r="D70" s="589"/>
      <c r="E70" s="589"/>
      <c r="F70" s="589"/>
      <c r="G70" s="589"/>
      <c r="H70" s="589"/>
      <c r="I70" s="589"/>
      <c r="J70" s="589"/>
      <c r="K70" s="589"/>
      <c r="L70" s="589"/>
      <c r="M70" s="589"/>
      <c r="N70" s="589"/>
      <c r="O70" s="589"/>
      <c r="P70" s="589"/>
      <c r="Q70" s="589"/>
      <c r="R70" s="589"/>
    </row>
    <row r="71" spans="1:18">
      <c r="A71" s="589"/>
      <c r="B71" s="589"/>
      <c r="C71" s="589"/>
      <c r="D71" s="589"/>
      <c r="E71" s="589"/>
      <c r="F71" s="589"/>
      <c r="G71" s="589"/>
      <c r="H71" s="589"/>
      <c r="I71" s="589"/>
      <c r="J71" s="589"/>
      <c r="K71" s="589"/>
      <c r="L71" s="589"/>
      <c r="M71" s="589"/>
      <c r="N71" s="589"/>
      <c r="O71" s="589"/>
      <c r="P71" s="589"/>
      <c r="Q71" s="589"/>
      <c r="R71" s="589"/>
    </row>
    <row r="72" spans="1:18">
      <c r="A72" s="589"/>
      <c r="B72" s="589"/>
      <c r="C72" s="589"/>
      <c r="D72" s="589"/>
      <c r="E72" s="589"/>
      <c r="F72" s="589"/>
      <c r="G72" s="589"/>
      <c r="H72" s="589"/>
      <c r="I72" s="589"/>
      <c r="J72" s="589"/>
      <c r="K72" s="589"/>
      <c r="L72" s="589"/>
      <c r="M72" s="589"/>
      <c r="N72" s="589"/>
      <c r="O72" s="589"/>
      <c r="P72" s="589"/>
      <c r="Q72" s="589"/>
      <c r="R72" s="589"/>
    </row>
    <row r="73" spans="1:18">
      <c r="A73" s="589"/>
      <c r="B73" s="589"/>
      <c r="C73" s="589"/>
      <c r="D73" s="589"/>
      <c r="E73" s="589"/>
      <c r="F73" s="589"/>
      <c r="G73" s="589"/>
      <c r="H73" s="589"/>
      <c r="I73" s="589"/>
      <c r="J73" s="589"/>
      <c r="K73" s="589"/>
      <c r="L73" s="589"/>
      <c r="M73" s="589"/>
      <c r="N73" s="589"/>
      <c r="O73" s="589"/>
      <c r="P73" s="589"/>
      <c r="Q73" s="589"/>
      <c r="R73" s="589"/>
    </row>
    <row r="74" spans="1:18">
      <c r="A74" s="589"/>
      <c r="B74" s="589"/>
      <c r="C74" s="589"/>
      <c r="D74" s="589"/>
      <c r="E74" s="589"/>
      <c r="F74" s="589"/>
      <c r="G74" s="589"/>
      <c r="H74" s="589"/>
      <c r="I74" s="589"/>
      <c r="J74" s="589"/>
      <c r="K74" s="589"/>
      <c r="L74" s="589"/>
      <c r="M74" s="589"/>
      <c r="N74" s="589"/>
      <c r="O74" s="589"/>
      <c r="P74" s="589"/>
      <c r="Q74" s="589"/>
      <c r="R74" s="589"/>
    </row>
    <row r="75" spans="1:18">
      <c r="A75" s="589"/>
      <c r="B75" s="589"/>
      <c r="C75" s="589"/>
      <c r="D75" s="589"/>
      <c r="E75" s="589"/>
      <c r="F75" s="589"/>
      <c r="G75" s="589"/>
      <c r="H75" s="589"/>
      <c r="I75" s="589"/>
      <c r="J75" s="589"/>
      <c r="K75" s="589"/>
      <c r="L75" s="589"/>
      <c r="M75" s="589"/>
      <c r="N75" s="589"/>
      <c r="O75" s="589"/>
      <c r="P75" s="589"/>
      <c r="Q75" s="589"/>
      <c r="R75" s="589"/>
    </row>
    <row r="76" spans="1:18">
      <c r="A76" s="589"/>
      <c r="B76" s="589"/>
      <c r="C76" s="589"/>
      <c r="D76" s="589"/>
      <c r="E76" s="589"/>
      <c r="F76" s="589"/>
      <c r="G76" s="589"/>
      <c r="H76" s="589"/>
      <c r="I76" s="589"/>
      <c r="J76" s="589"/>
      <c r="K76" s="589"/>
      <c r="L76" s="589"/>
      <c r="M76" s="589"/>
      <c r="N76" s="589"/>
      <c r="O76" s="589"/>
      <c r="P76" s="589"/>
      <c r="Q76" s="589"/>
      <c r="R76" s="589"/>
    </row>
    <row r="77" spans="1:18">
      <c r="A77" s="589"/>
      <c r="B77" s="589"/>
      <c r="C77" s="589"/>
      <c r="D77" s="589"/>
      <c r="E77" s="589"/>
      <c r="F77" s="589"/>
      <c r="G77" s="589"/>
      <c r="H77" s="589"/>
      <c r="I77" s="589"/>
      <c r="J77" s="589"/>
      <c r="K77" s="589"/>
      <c r="L77" s="589"/>
      <c r="M77" s="589"/>
      <c r="N77" s="589"/>
      <c r="O77" s="589"/>
      <c r="P77" s="589"/>
      <c r="Q77" s="589"/>
      <c r="R77" s="589"/>
    </row>
    <row r="78" spans="1:18">
      <c r="A78" s="589"/>
      <c r="B78" s="589"/>
      <c r="C78" s="589"/>
      <c r="D78" s="589"/>
      <c r="E78" s="589"/>
      <c r="F78" s="589"/>
      <c r="G78" s="589"/>
      <c r="H78" s="589"/>
      <c r="I78" s="589"/>
      <c r="J78" s="589"/>
      <c r="K78" s="589"/>
      <c r="L78" s="589"/>
      <c r="M78" s="589"/>
      <c r="N78" s="589"/>
      <c r="O78" s="589"/>
      <c r="P78" s="589"/>
      <c r="Q78" s="589"/>
      <c r="R78" s="589"/>
    </row>
    <row r="79" spans="1:18">
      <c r="A79" s="589"/>
      <c r="B79" s="589"/>
      <c r="C79" s="589"/>
      <c r="D79" s="589"/>
      <c r="E79" s="589"/>
      <c r="F79" s="589"/>
      <c r="G79" s="589"/>
      <c r="H79" s="589"/>
      <c r="I79" s="589"/>
      <c r="J79" s="589"/>
      <c r="K79" s="589"/>
      <c r="L79" s="589"/>
      <c r="M79" s="589"/>
      <c r="N79" s="589"/>
      <c r="O79" s="589"/>
      <c r="P79" s="589"/>
      <c r="Q79" s="589"/>
      <c r="R79" s="589"/>
    </row>
    <row r="80" spans="1:18">
      <c r="A80" s="589"/>
      <c r="B80" s="589"/>
      <c r="C80" s="589"/>
      <c r="D80" s="589"/>
      <c r="E80" s="589"/>
      <c r="F80" s="589"/>
      <c r="G80" s="589"/>
      <c r="H80" s="589"/>
      <c r="I80" s="589"/>
      <c r="J80" s="589"/>
      <c r="K80" s="589"/>
      <c r="L80" s="589"/>
      <c r="M80" s="589"/>
      <c r="N80" s="589"/>
      <c r="O80" s="589"/>
      <c r="P80" s="589"/>
      <c r="Q80" s="589"/>
      <c r="R80" s="589"/>
    </row>
    <row r="81" spans="1:18">
      <c r="A81" s="589"/>
      <c r="B81" s="589"/>
      <c r="C81" s="589"/>
      <c r="D81" s="589"/>
      <c r="E81" s="589"/>
      <c r="F81" s="589"/>
      <c r="G81" s="589"/>
      <c r="H81" s="589"/>
      <c r="I81" s="589"/>
      <c r="J81" s="589"/>
      <c r="K81" s="589"/>
      <c r="L81" s="589"/>
      <c r="M81" s="589"/>
      <c r="N81" s="589"/>
      <c r="O81" s="589"/>
      <c r="P81" s="589"/>
      <c r="Q81" s="589"/>
      <c r="R81" s="589"/>
    </row>
    <row r="82" spans="1:18">
      <c r="A82" s="589"/>
      <c r="B82" s="589"/>
      <c r="C82" s="589"/>
      <c r="D82" s="589"/>
      <c r="E82" s="589"/>
      <c r="F82" s="589"/>
      <c r="G82" s="589"/>
      <c r="H82" s="589"/>
      <c r="I82" s="589"/>
      <c r="J82" s="589"/>
      <c r="K82" s="589"/>
      <c r="L82" s="589"/>
      <c r="M82" s="589"/>
      <c r="N82" s="589"/>
      <c r="O82" s="589"/>
      <c r="P82" s="589"/>
      <c r="Q82" s="589"/>
      <c r="R82" s="589"/>
    </row>
    <row r="83" spans="1:18">
      <c r="A83" s="589"/>
      <c r="B83" s="589"/>
      <c r="C83" s="589"/>
      <c r="D83" s="589"/>
      <c r="E83" s="589"/>
      <c r="F83" s="589"/>
      <c r="G83" s="589"/>
      <c r="H83" s="589"/>
      <c r="I83" s="589"/>
      <c r="J83" s="589"/>
      <c r="K83" s="589"/>
      <c r="L83" s="589"/>
      <c r="M83" s="589"/>
      <c r="N83" s="589"/>
      <c r="O83" s="589"/>
      <c r="P83" s="589"/>
      <c r="Q83" s="589"/>
      <c r="R83" s="589"/>
    </row>
    <row r="84" spans="1:18">
      <c r="A84" s="589"/>
      <c r="B84" s="589"/>
      <c r="C84" s="589"/>
      <c r="D84" s="589"/>
      <c r="E84" s="589"/>
      <c r="F84" s="589"/>
      <c r="G84" s="589"/>
      <c r="H84" s="589"/>
      <c r="I84" s="589"/>
      <c r="J84" s="589"/>
      <c r="K84" s="589"/>
      <c r="L84" s="589"/>
      <c r="M84" s="589"/>
      <c r="N84" s="589"/>
      <c r="O84" s="589"/>
      <c r="P84" s="589"/>
      <c r="Q84" s="589"/>
      <c r="R84" s="589"/>
    </row>
    <row r="85" spans="1:18">
      <c r="A85" s="589"/>
      <c r="B85" s="589"/>
      <c r="C85" s="589"/>
      <c r="D85" s="589"/>
      <c r="E85" s="589"/>
      <c r="F85" s="589"/>
      <c r="G85" s="589"/>
      <c r="H85" s="589"/>
      <c r="I85" s="589"/>
      <c r="J85" s="589"/>
      <c r="K85" s="589"/>
      <c r="L85" s="589"/>
      <c r="M85" s="589"/>
      <c r="N85" s="589"/>
      <c r="O85" s="589"/>
      <c r="P85" s="589"/>
      <c r="Q85" s="589"/>
      <c r="R85" s="589"/>
    </row>
  </sheetData>
  <mergeCells count="1">
    <mergeCell ref="C3:D3"/>
  </mergeCells>
  <printOptions horizontalCentered="1"/>
  <pageMargins left="0" right="0" top="1.75" bottom="0.5" header="0" footer="0"/>
  <pageSetup fitToHeight="0" orientation="landscape" cellComments="atEnd" r:id="rId1"/>
  <customProperties>
    <customPr name="GUID" r:id="rId2"/>
  </customProperties>
  <drawing r:id="rId3"/>
  <extLst>
    <ext xmlns:x14="http://schemas.microsoft.com/office/spreadsheetml/2009/9/main" uri="{78C0D931-6437-407d-A8EE-F0AAD7539E65}">
      <x14:conditionalFormattings>
        <x14:conditionalFormatting xmlns:xm="http://schemas.microsoft.com/office/excel/2006/main">
          <x14:cfRule type="expression" priority="1" id="{00000000-000E-0000-1100-000001000000}">
            <xm:f>'Operating Statement'!$AB$8:$AB$9="Yes"</xm:f>
            <x14:dxf>
              <fill>
                <patternFill>
                  <bgColor theme="2"/>
                </patternFill>
              </fill>
            </x14:dxf>
          </x14:cfRule>
          <xm:sqref>D4:D30</xm:sqref>
        </x14:conditionalFormatting>
        <x14:conditionalFormatting xmlns:xm="http://schemas.microsoft.com/office/excel/2006/main">
          <x14:cfRule type="expression" priority="5" id="{9ECBB5E8-1BBA-4D02-A083-17BA18871214}">
            <xm:f>Input!$F$8="Disabled"</xm:f>
            <x14:dxf>
              <fill>
                <patternFill>
                  <bgColor theme="0"/>
                </patternFill>
              </fill>
            </x14:dxf>
          </x14:cfRule>
          <xm:sqref>A1 D4:D12 D18:D28 D30</xm:sqref>
        </x14:conditionalFormatting>
        <x14:conditionalFormatting xmlns:xm="http://schemas.microsoft.com/office/excel/2006/main">
          <x14:cfRule type="expression" priority="4" id="{3BD226D4-F7DD-46D3-AF32-C49D8D30BB2E}">
            <xm:f>Input!$F$8="Disabled"</xm:f>
            <x14:dxf>
              <fill>
                <patternFill>
                  <bgColor theme="0"/>
                </patternFill>
              </fill>
            </x14:dxf>
          </x14:cfRule>
          <xm:sqref>D13:D17</xm:sqref>
        </x14:conditionalFormatting>
        <x14:conditionalFormatting xmlns:xm="http://schemas.microsoft.com/office/excel/2006/main">
          <x14:cfRule type="expression" priority="2" id="{2B632C36-60A1-4812-AE74-83880F2D494D}">
            <xm:f>Input!$F$8="Disabled"</xm:f>
            <x14:dxf>
              <fill>
                <patternFill>
                  <bgColor theme="0"/>
                </patternFill>
              </fill>
            </x14:dxf>
          </x14:cfRule>
          <xm:sqref>D29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tabColor rgb="FF92D050"/>
  </sheetPr>
  <dimension ref="A1:Z68"/>
  <sheetViews>
    <sheetView showGridLines="0" topLeftCell="A10" zoomScale="140" zoomScaleNormal="140" zoomScaleSheetLayoutView="96" zoomScalePageLayoutView="160" workbookViewId="0">
      <selection activeCell="E3" sqref="E3:P36"/>
    </sheetView>
  </sheetViews>
  <sheetFormatPr defaultColWidth="8.85546875" defaultRowHeight="9"/>
  <cols>
    <col min="1" max="1" width="3.42578125" style="21" customWidth="1"/>
    <col min="2" max="3" width="2.5703125" style="21" customWidth="1"/>
    <col min="4" max="4" width="3.42578125" style="21" customWidth="1"/>
    <col min="5" max="5" width="10.42578125" style="21" customWidth="1"/>
    <col min="6" max="6" width="6" style="21" customWidth="1"/>
    <col min="7" max="7" width="11.42578125" style="21" customWidth="1"/>
    <col min="8" max="8" width="9.85546875" style="21" customWidth="1"/>
    <col min="9" max="9" width="16.7109375" style="21" bestFit="1" customWidth="1"/>
    <col min="10" max="10" width="13.28515625" style="21" bestFit="1" customWidth="1"/>
    <col min="11" max="11" width="1.42578125" style="21" customWidth="1"/>
    <col min="12" max="12" width="27" style="21" bestFit="1" customWidth="1"/>
    <col min="13" max="13" width="6.85546875" style="23" customWidth="1"/>
    <col min="14" max="14" width="11.42578125" style="26" customWidth="1"/>
    <col min="15" max="15" width="6" style="23" customWidth="1"/>
    <col min="16" max="16" width="9" style="26" customWidth="1"/>
    <col min="17" max="17" width="0.140625" style="21" hidden="1" customWidth="1"/>
    <col min="18" max="18" width="3.85546875" style="21" customWidth="1"/>
    <col min="19" max="19" width="3.5703125" style="21" customWidth="1"/>
    <col min="20" max="20" width="8.85546875" style="21"/>
    <col min="21" max="21" width="16" style="21" customWidth="1"/>
    <col min="22" max="16384" width="8.85546875" style="21"/>
  </cols>
  <sheetData>
    <row r="1" spans="1:26" ht="13.5" customHeight="1">
      <c r="A1" s="589"/>
      <c r="B1" s="589"/>
      <c r="C1" s="758"/>
      <c r="D1" s="589"/>
      <c r="E1" s="746" t="s">
        <v>1747</v>
      </c>
      <c r="F1" s="758"/>
      <c r="G1" s="589"/>
      <c r="H1" s="589"/>
      <c r="I1" s="589"/>
      <c r="J1" s="589"/>
      <c r="K1" s="589"/>
      <c r="L1" s="589"/>
      <c r="M1" s="592"/>
      <c r="N1" s="641"/>
      <c r="O1" s="592"/>
      <c r="P1" s="641"/>
      <c r="Q1" s="589"/>
      <c r="R1" s="589"/>
      <c r="S1" s="589"/>
      <c r="T1" s="589"/>
      <c r="U1" s="589"/>
      <c r="V1" s="589"/>
      <c r="W1" s="589"/>
      <c r="X1" s="589"/>
      <c r="Y1" s="589"/>
      <c r="Z1" s="589"/>
    </row>
    <row r="2" spans="1:26" ht="13.5" customHeight="1">
      <c r="A2" s="589"/>
      <c r="B2" s="589"/>
      <c r="C2" s="589"/>
      <c r="D2" s="589"/>
      <c r="E2" s="589"/>
      <c r="F2" s="589"/>
      <c r="G2" s="589"/>
      <c r="H2" s="589"/>
      <c r="I2" s="589"/>
      <c r="J2" s="589"/>
      <c r="K2" s="589"/>
      <c r="L2" s="589"/>
      <c r="M2" s="592"/>
      <c r="N2" s="641"/>
      <c r="O2" s="592"/>
      <c r="P2" s="641"/>
      <c r="Q2" s="589"/>
      <c r="R2" s="589"/>
      <c r="S2" s="589"/>
      <c r="T2" s="589"/>
      <c r="U2" s="589"/>
      <c r="V2" s="589"/>
      <c r="W2" s="589"/>
      <c r="X2" s="589"/>
      <c r="Y2" s="589"/>
      <c r="Z2" s="589"/>
    </row>
    <row r="3" spans="1:26" s="55" customFormat="1" ht="12" customHeight="1">
      <c r="A3" s="636"/>
      <c r="B3" s="636"/>
      <c r="C3" s="636"/>
      <c r="D3" s="636"/>
      <c r="E3" s="1594" t="s">
        <v>1779</v>
      </c>
      <c r="F3" s="1594"/>
      <c r="G3" s="1594"/>
      <c r="H3" s="1594"/>
      <c r="I3" s="1352"/>
      <c r="J3" s="1352"/>
      <c r="K3" s="1352"/>
      <c r="L3" s="1353" t="s">
        <v>1780</v>
      </c>
      <c r="M3" s="1353"/>
      <c r="N3" s="1353"/>
      <c r="O3" s="1353"/>
      <c r="P3" s="1353"/>
      <c r="Q3" s="1071"/>
      <c r="R3" s="636"/>
      <c r="S3" s="636"/>
      <c r="T3" s="636"/>
      <c r="U3" s="1131" t="s">
        <v>1781</v>
      </c>
      <c r="V3" s="1132" t="s">
        <v>199</v>
      </c>
      <c r="W3" s="636"/>
      <c r="X3" s="636"/>
      <c r="Y3" s="636"/>
      <c r="Z3" s="636"/>
    </row>
    <row r="4" spans="1:26" s="55" customFormat="1" ht="12" customHeight="1">
      <c r="A4" s="636"/>
      <c r="B4" s="636"/>
      <c r="C4" s="636"/>
      <c r="D4" s="636"/>
      <c r="E4" s="1354" t="s">
        <v>1749</v>
      </c>
      <c r="F4" s="1355"/>
      <c r="G4" s="1356">
        <f>IFERROR(IF(Priced="Unpriced","",Input!C9),"")</f>
        <v>9350000</v>
      </c>
      <c r="H4" s="1357"/>
      <c r="I4" s="1358"/>
      <c r="J4" s="1359"/>
      <c r="K4" s="1360"/>
      <c r="L4" s="1361"/>
      <c r="M4" s="1362"/>
      <c r="N4" s="1363"/>
      <c r="O4" s="1364"/>
      <c r="P4" s="1365"/>
      <c r="Q4" s="636"/>
      <c r="R4" s="636"/>
      <c r="S4" s="636"/>
      <c r="T4" s="636"/>
      <c r="U4" s="636"/>
      <c r="V4" s="636"/>
      <c r="W4" s="636"/>
      <c r="X4" s="636"/>
      <c r="Y4" s="636"/>
      <c r="Z4" s="636"/>
    </row>
    <row r="5" spans="1:26" s="55" customFormat="1" ht="12" customHeight="1">
      <c r="A5" s="636"/>
      <c r="B5" s="636"/>
      <c r="C5" s="636"/>
      <c r="D5" s="636"/>
      <c r="E5" s="1366" t="s">
        <v>1149</v>
      </c>
      <c r="F5" s="1367"/>
      <c r="G5" s="1368">
        <f>IFERROR(IF(Priced="Unpriced","-",-'Cash Flow'!F41+'Cash Flow'!F36),"")</f>
        <v>4207500</v>
      </c>
      <c r="H5" s="1369">
        <f>IFERROR(IF(Priced="Unpriced","",G5/G4),"")</f>
        <v>0.45</v>
      </c>
      <c r="I5" s="1359"/>
      <c r="J5" s="1358"/>
      <c r="K5" s="1370"/>
      <c r="L5" s="1370"/>
      <c r="M5" s="1371"/>
      <c r="N5" s="1372"/>
      <c r="O5" s="1373"/>
      <c r="P5" s="1374"/>
      <c r="Q5" s="636"/>
      <c r="R5" s="636"/>
      <c r="S5" s="636"/>
      <c r="T5" s="636"/>
      <c r="U5" s="636"/>
      <c r="V5" s="636"/>
      <c r="W5" s="636"/>
      <c r="X5" s="636"/>
      <c r="Y5" s="636"/>
      <c r="Z5" s="636"/>
    </row>
    <row r="6" spans="1:26" s="55" customFormat="1" ht="12" customHeight="1">
      <c r="A6" s="636"/>
      <c r="B6" s="636"/>
      <c r="C6" s="636"/>
      <c r="D6" s="636"/>
      <c r="E6" s="1366" t="s">
        <v>1750</v>
      </c>
      <c r="F6" s="1367"/>
      <c r="G6" s="1364">
        <f>'Rent Roll Summary'!C36</f>
        <v>27</v>
      </c>
      <c r="H6" s="1366"/>
      <c r="I6" s="1358"/>
      <c r="J6" s="1358"/>
      <c r="K6" s="1360"/>
      <c r="L6" s="1594" t="s">
        <v>1713</v>
      </c>
      <c r="M6" s="1594"/>
      <c r="N6" s="1375" t="str">
        <f>'Operating Statement'!O4</f>
        <v>Current</v>
      </c>
      <c r="O6" s="1375"/>
      <c r="P6" s="1375" t="str">
        <f>'Operating Statement'!Q4</f>
        <v>Pro Forma</v>
      </c>
      <c r="Q6" s="1072" t="str">
        <f>'Operating Statement'!S4</f>
        <v>Reno</v>
      </c>
      <c r="R6" s="636"/>
      <c r="S6" s="636"/>
      <c r="T6" s="636"/>
      <c r="U6" s="636"/>
      <c r="V6" s="636"/>
      <c r="W6" s="636"/>
      <c r="X6" s="636"/>
      <c r="Y6" s="636"/>
      <c r="Z6" s="636"/>
    </row>
    <row r="7" spans="1:26" s="55" customFormat="1" ht="12" customHeight="1">
      <c r="A7" s="636"/>
      <c r="B7" s="636"/>
      <c r="C7" s="636"/>
      <c r="D7" s="636"/>
      <c r="E7" s="1366" t="s">
        <v>1751</v>
      </c>
      <c r="F7" s="1367"/>
      <c r="G7" s="1368">
        <f>IFERROR(IF(Priced="Unpriced","-",G4/G6),0)</f>
        <v>346296.29629629629</v>
      </c>
      <c r="H7" s="1376"/>
      <c r="I7" s="1358"/>
      <c r="J7" s="1358"/>
      <c r="K7" s="1377"/>
      <c r="L7" s="1354" t="s">
        <v>1769</v>
      </c>
      <c r="M7" s="1378"/>
      <c r="N7" s="1356">
        <f>'Operating Statement'!O8</f>
        <v>740748</v>
      </c>
      <c r="O7" s="1356"/>
      <c r="P7" s="1356">
        <f>'Operating Statement'!Q8</f>
        <v>878280</v>
      </c>
      <c r="Q7" s="776">
        <f>'Operating Statement'!S8</f>
        <v>0</v>
      </c>
      <c r="R7" s="636"/>
      <c r="S7" s="636"/>
      <c r="T7" s="636"/>
      <c r="U7" s="636"/>
      <c r="V7" s="636"/>
      <c r="W7" s="636"/>
      <c r="X7" s="636"/>
      <c r="Y7" s="636"/>
      <c r="Z7" s="636"/>
    </row>
    <row r="8" spans="1:26" s="55" customFormat="1" ht="12" customHeight="1">
      <c r="A8" s="636"/>
      <c r="B8" s="636"/>
      <c r="C8" s="636"/>
      <c r="D8" s="636"/>
      <c r="E8" s="1366" t="s">
        <v>1752</v>
      </c>
      <c r="F8" s="1367"/>
      <c r="G8" s="1379">
        <f>IFERROR(IF(Priced="Unpriced","-",G4/G9),0)</f>
        <v>412.36658728058569</v>
      </c>
      <c r="H8" s="1380"/>
      <c r="I8" s="1358"/>
      <c r="J8" s="1358"/>
      <c r="K8" s="1381"/>
      <c r="L8" s="1366" t="s">
        <v>1782</v>
      </c>
      <c r="M8" s="1382">
        <f>IFERROR(N8/N7,0)</f>
        <v>0.05</v>
      </c>
      <c r="N8" s="1368">
        <f>-'Operating Statement'!O14</f>
        <v>37037.4</v>
      </c>
      <c r="O8" s="1382">
        <f>IFERROR(P8/P7,0)</f>
        <v>0.05</v>
      </c>
      <c r="P8" s="1368">
        <f>-'Operating Statement'!Q14</f>
        <v>43914</v>
      </c>
      <c r="Q8" s="777">
        <f>-'Operating Statement'!S14</f>
        <v>0</v>
      </c>
      <c r="R8" s="636"/>
      <c r="S8" s="636"/>
      <c r="T8" s="636"/>
      <c r="U8" s="636"/>
      <c r="V8" s="636"/>
      <c r="W8" s="636"/>
      <c r="X8" s="636"/>
      <c r="Y8" s="636"/>
      <c r="Z8" s="636"/>
    </row>
    <row r="9" spans="1:26" s="55" customFormat="1" ht="12" customHeight="1">
      <c r="A9" s="636"/>
      <c r="B9" s="636"/>
      <c r="C9" s="636"/>
      <c r="D9" s="636"/>
      <c r="E9" s="1366" t="str">
        <f>'Rent Roll Summary'!T1&amp;" SqFt"</f>
        <v>Gross SqFt</v>
      </c>
      <c r="F9" s="1367"/>
      <c r="G9" s="1383">
        <f>'Rent Roll Summary'!T36</f>
        <v>22674</v>
      </c>
      <c r="H9" s="1384"/>
      <c r="I9" s="1358"/>
      <c r="J9" s="1358"/>
      <c r="K9" s="1370"/>
      <c r="L9" s="1366" t="s">
        <v>1771</v>
      </c>
      <c r="M9" s="1385"/>
      <c r="N9" s="1368">
        <f>'Operating Statement'!O16</f>
        <v>703710.6</v>
      </c>
      <c r="O9" s="1385"/>
      <c r="P9" s="1368">
        <f>'Operating Statement'!Q16</f>
        <v>834366</v>
      </c>
      <c r="Q9" s="777">
        <f>'Operating Statement'!S16</f>
        <v>0</v>
      </c>
      <c r="R9" s="636"/>
      <c r="S9" s="636"/>
      <c r="T9" s="636"/>
      <c r="U9" s="636"/>
      <c r="V9" s="636"/>
      <c r="W9" s="636"/>
      <c r="X9" s="636"/>
      <c r="Y9" s="636"/>
      <c r="Z9" s="636"/>
    </row>
    <row r="10" spans="1:26" s="55" customFormat="1" ht="12" customHeight="1">
      <c r="A10" s="636"/>
      <c r="B10" s="636"/>
      <c r="C10" s="636"/>
      <c r="D10" s="636"/>
      <c r="E10" s="1366" t="s">
        <v>54</v>
      </c>
      <c r="F10" s="1367"/>
      <c r="G10" s="1386">
        <f>IF(Input!B13="",0,Input!B13)</f>
        <v>1.1200000000000001</v>
      </c>
      <c r="H10" s="1384"/>
      <c r="I10" s="1358"/>
      <c r="J10" s="1358"/>
      <c r="K10" s="1370"/>
      <c r="L10" s="1366" t="s">
        <v>1772</v>
      </c>
      <c r="M10" s="1385"/>
      <c r="N10" s="1368">
        <f>'Operating Statement'!O20</f>
        <v>5820</v>
      </c>
      <c r="O10" s="1385"/>
      <c r="P10" s="1368">
        <f>'Operating Statement'!Q20</f>
        <v>5820</v>
      </c>
      <c r="Q10" s="777">
        <f>'Operating Statement'!S20</f>
        <v>0</v>
      </c>
      <c r="R10" s="636"/>
      <c r="S10" s="636"/>
      <c r="T10" s="636"/>
      <c r="U10" s="636"/>
      <c r="V10" s="636"/>
      <c r="W10" s="636"/>
      <c r="X10" s="636"/>
      <c r="Y10" s="636"/>
      <c r="Z10" s="636"/>
    </row>
    <row r="11" spans="1:26" s="55" customFormat="1" ht="12" customHeight="1">
      <c r="A11" s="636"/>
      <c r="B11" s="636"/>
      <c r="C11" s="636"/>
      <c r="D11" s="636"/>
      <c r="E11" s="1387" t="s">
        <v>1754</v>
      </c>
      <c r="F11" s="1388"/>
      <c r="G11" s="1389">
        <f>Input!B27</f>
        <v>1953</v>
      </c>
      <c r="H11" s="1387"/>
      <c r="I11" s="1390"/>
      <c r="J11" s="1390"/>
      <c r="K11" s="1370"/>
      <c r="L11" s="1366" t="s">
        <v>59</v>
      </c>
      <c r="M11" s="1385"/>
      <c r="N11" s="1368">
        <f>'Operating Statement'!O21</f>
        <v>709530.6</v>
      </c>
      <c r="O11" s="1391"/>
      <c r="P11" s="1368">
        <f>'Operating Statement'!Q21</f>
        <v>840186</v>
      </c>
      <c r="Q11" s="777">
        <f>'Operating Statement'!S21</f>
        <v>0</v>
      </c>
      <c r="R11" s="636"/>
      <c r="S11" s="636"/>
      <c r="T11" s="636"/>
      <c r="U11" s="636"/>
      <c r="V11" s="636"/>
      <c r="W11" s="636"/>
      <c r="X11" s="636"/>
      <c r="Y11" s="636"/>
      <c r="Z11" s="636"/>
    </row>
    <row r="12" spans="1:26" s="55" customFormat="1" ht="12" customHeight="1">
      <c r="A12" s="636"/>
      <c r="B12" s="636"/>
      <c r="C12" s="636"/>
      <c r="D12" s="636"/>
      <c r="E12" s="1392"/>
      <c r="F12" s="1392"/>
      <c r="G12" s="1393"/>
      <c r="H12" s="1394"/>
      <c r="I12" s="1390"/>
      <c r="J12" s="1390"/>
      <c r="K12" s="1370"/>
      <c r="L12" s="1366" t="s">
        <v>1773</v>
      </c>
      <c r="M12" s="1395">
        <f>IFERROR(N12/$N$11,0)</f>
        <v>0.37164647162504338</v>
      </c>
      <c r="N12" s="1396">
        <f>'Operating Statement'!O39</f>
        <v>263694.54399999999</v>
      </c>
      <c r="O12" s="1395">
        <f>IFERROR(P12/P11,0)</f>
        <v>0.32007288862228128</v>
      </c>
      <c r="P12" s="1396">
        <f>'Operating Statement'!Q39</f>
        <v>268920.76</v>
      </c>
      <c r="Q12" s="779">
        <f>'Operating Statement'!S39</f>
        <v>0</v>
      </c>
      <c r="R12" s="636"/>
      <c r="S12" s="636"/>
      <c r="T12" s="636"/>
      <c r="U12" s="636"/>
      <c r="V12" s="636"/>
      <c r="W12" s="636"/>
      <c r="X12" s="636"/>
      <c r="Y12" s="636"/>
      <c r="Z12" s="636"/>
    </row>
    <row r="13" spans="1:26" s="55" customFormat="1" ht="12" customHeight="1">
      <c r="A13" s="636"/>
      <c r="B13" s="636"/>
      <c r="C13" s="642"/>
      <c r="D13" s="642"/>
      <c r="E13" s="1397"/>
      <c r="F13" s="1397"/>
      <c r="G13" s="1596"/>
      <c r="H13" s="1596"/>
      <c r="I13" s="1597"/>
      <c r="J13" s="1597"/>
      <c r="K13" s="1397"/>
      <c r="L13" s="1354" t="s">
        <v>63</v>
      </c>
      <c r="M13" s="1398"/>
      <c r="N13" s="1356">
        <f>N11-N12</f>
        <v>445836.05599999998</v>
      </c>
      <c r="O13" s="1398"/>
      <c r="P13" s="1356">
        <f>P11-P12</f>
        <v>571265.24</v>
      </c>
      <c r="Q13" s="780">
        <f>Q11-Q12</f>
        <v>0</v>
      </c>
      <c r="R13" s="636"/>
      <c r="S13" s="636"/>
      <c r="T13" s="636"/>
      <c r="U13" s="636"/>
      <c r="V13" s="636"/>
      <c r="W13" s="636"/>
      <c r="X13" s="636"/>
      <c r="Y13" s="636"/>
      <c r="Z13" s="636"/>
    </row>
    <row r="14" spans="1:26" s="55" customFormat="1" ht="12" customHeight="1">
      <c r="A14" s="636"/>
      <c r="B14" s="636"/>
      <c r="C14" s="642"/>
      <c r="D14" s="1052"/>
      <c r="E14" s="1353" t="s">
        <v>1783</v>
      </c>
      <c r="F14" s="1399"/>
      <c r="G14" s="1375" t="str">
        <f>N6</f>
        <v>Current</v>
      </c>
      <c r="H14" s="1375" t="str">
        <f>P6</f>
        <v>Pro Forma</v>
      </c>
      <c r="I14" s="1400"/>
      <c r="J14" s="1401"/>
      <c r="K14" s="1358"/>
      <c r="L14" s="1366" t="s">
        <v>65</v>
      </c>
      <c r="M14" s="1402"/>
      <c r="N14" s="1368">
        <f>N13</f>
        <v>445836.05599999998</v>
      </c>
      <c r="O14" s="1402"/>
      <c r="P14" s="1403">
        <f>'Cash Flow'!G32</f>
        <v>571265.24</v>
      </c>
      <c r="Q14" s="782">
        <f>Q13</f>
        <v>0</v>
      </c>
      <c r="R14" s="636"/>
      <c r="S14" s="636"/>
      <c r="T14" s="636"/>
      <c r="U14" s="636"/>
      <c r="V14" s="636"/>
      <c r="W14" s="636"/>
      <c r="X14" s="636"/>
      <c r="Y14" s="636"/>
      <c r="Z14" s="636"/>
    </row>
    <row r="15" spans="1:26" s="55" customFormat="1" ht="12" customHeight="1">
      <c r="A15" s="636"/>
      <c r="B15" s="636"/>
      <c r="C15" s="642"/>
      <c r="D15" s="642"/>
      <c r="E15" s="1354" t="s">
        <v>1784</v>
      </c>
      <c r="F15" s="1355"/>
      <c r="G15" s="1404">
        <f>IFERROR(N13/$G$4,0)</f>
        <v>4.7683000641711229E-2</v>
      </c>
      <c r="H15" s="1398">
        <f>IFERROR(P13/$G$4,0)</f>
        <v>6.1097886631016042E-2</v>
      </c>
      <c r="I15" s="1405"/>
      <c r="J15" s="1406"/>
      <c r="K15" s="1358"/>
      <c r="L15" s="1366" t="s">
        <v>67</v>
      </c>
      <c r="M15" s="1402"/>
      <c r="N15" s="1368">
        <f>-SUM('Cash Flow'!G39:G40)</f>
        <v>360122.80971131654</v>
      </c>
      <c r="O15" s="1402"/>
      <c r="P15" s="1368">
        <f>-SUM('Cash Flow'!G39:G40)</f>
        <v>360122.80971131654</v>
      </c>
      <c r="Q15" s="777">
        <f>-SUM('Cash Flow'!G39:G40)</f>
        <v>360122.80971131654</v>
      </c>
      <c r="R15" s="636"/>
      <c r="S15" s="636"/>
      <c r="T15" s="636"/>
      <c r="U15" s="636"/>
      <c r="V15" s="636"/>
      <c r="W15" s="636"/>
      <c r="X15" s="636"/>
      <c r="Y15" s="636"/>
      <c r="Z15" s="636"/>
    </row>
    <row r="16" spans="1:26" s="55" customFormat="1" ht="12" customHeight="1">
      <c r="A16" s="636"/>
      <c r="B16" s="636"/>
      <c r="C16" s="642"/>
      <c r="D16" s="642"/>
      <c r="E16" s="1366" t="str">
        <f>IFERROR(IF(RentMult="GIM","GIM","GRM"),"")</f>
        <v>GRM</v>
      </c>
      <c r="F16" s="1361"/>
      <c r="G16" s="1407">
        <f>IFERROR($G$4/IF(RentMult="GIM",N7+N10,N7),0)</f>
        <v>12.622376300712252</v>
      </c>
      <c r="H16" s="1407">
        <f>IFERROR($G$4/IF(RentMult="GIM",P7+P10,P7),0)</f>
        <v>10.645807715079474</v>
      </c>
      <c r="I16" s="1407"/>
      <c r="J16" s="1408"/>
      <c r="K16" s="1358"/>
      <c r="L16" s="1409" t="s">
        <v>71</v>
      </c>
      <c r="M16" s="1410">
        <f>IFERROR(IF(Priced="Unpriced","",N16/$G$5),0)</f>
        <v>2.0371538036526068E-2</v>
      </c>
      <c r="N16" s="1396">
        <f>N14-N15</f>
        <v>85713.24628868344</v>
      </c>
      <c r="O16" s="1410">
        <f>IFERROR(IF(Priced="Unpriced","",P16/$G$5),0)</f>
        <v>5.0182395790536766E-2</v>
      </c>
      <c r="P16" s="1396">
        <f>P14-P15</f>
        <v>211142.43028868345</v>
      </c>
      <c r="Q16" s="784">
        <f>Q14-Q15</f>
        <v>-360122.80971131654</v>
      </c>
      <c r="R16" s="636"/>
      <c r="S16" s="636"/>
      <c r="T16" s="636"/>
      <c r="U16" s="636"/>
      <c r="V16" s="636"/>
      <c r="W16" s="636"/>
      <c r="X16" s="636"/>
      <c r="Y16" s="636"/>
      <c r="Z16" s="636"/>
    </row>
    <row r="17" spans="1:26" s="55" customFormat="1" ht="12" customHeight="1">
      <c r="A17" s="636"/>
      <c r="B17" s="636"/>
      <c r="C17" s="642"/>
      <c r="D17" s="642"/>
      <c r="E17" s="1366" t="s">
        <v>1785</v>
      </c>
      <c r="F17" s="1361"/>
      <c r="G17" s="1410">
        <f>M16</f>
        <v>2.0371538036526068E-2</v>
      </c>
      <c r="H17" s="1410">
        <f>O16</f>
        <v>5.0182395790536766E-2</v>
      </c>
      <c r="I17" s="1410"/>
      <c r="J17" s="1411"/>
      <c r="K17" s="1358"/>
      <c r="L17" s="1387" t="s">
        <v>1774</v>
      </c>
      <c r="M17" s="1412"/>
      <c r="N17" s="1413">
        <f>-'Cash Flow'!G40</f>
        <v>66154.448956313965</v>
      </c>
      <c r="O17" s="1414"/>
      <c r="P17" s="1413">
        <f>-'Cash Flow'!H40</f>
        <v>70060.196461221756</v>
      </c>
      <c r="Q17" s="785">
        <f>-'Cash Flow'!H40</f>
        <v>70060.196461221756</v>
      </c>
      <c r="R17" s="636"/>
      <c r="S17" s="636"/>
      <c r="T17" s="636"/>
      <c r="U17" s="636"/>
      <c r="V17" s="636"/>
      <c r="W17" s="636"/>
      <c r="X17" s="636"/>
      <c r="Y17" s="636"/>
      <c r="Z17" s="636"/>
    </row>
    <row r="18" spans="1:26" s="55" customFormat="1" ht="12" customHeight="1">
      <c r="A18" s="636"/>
      <c r="B18" s="636"/>
      <c r="C18" s="642"/>
      <c r="D18" s="642"/>
      <c r="E18" s="1387" t="s">
        <v>1786</v>
      </c>
      <c r="F18" s="1415"/>
      <c r="G18" s="1416">
        <f>IFERROR(IF(SwitchAcqMethod="All Cash","N/A",N13/N15),0)</f>
        <v>1.2380111561314133</v>
      </c>
      <c r="H18" s="1416">
        <f>IFERROR(IF(SwitchAcqMethod="All Cash","N/A",P13/P15),0)</f>
        <v>1.5863067392424837</v>
      </c>
      <c r="I18" s="1417">
        <f>IFERROR(IF(SwitchAcqMethod="All Cash","N/A",Q13/Q15),0)</f>
        <v>0</v>
      </c>
      <c r="J18" s="1418"/>
      <c r="K18" s="1358"/>
      <c r="L18" s="1419" t="s">
        <v>1787</v>
      </c>
      <c r="M18" s="1420">
        <f>IFERROR(IF(Priced="Unpriced","",IFERROR(N18/$G$5,IFERROR(N18/$G$4,0))),"")</f>
        <v>3.6094520557337466E-2</v>
      </c>
      <c r="N18" s="1421">
        <f>N16+N17</f>
        <v>151867.69524499739</v>
      </c>
      <c r="O18" s="1420">
        <f>IFERROR(IF(Priced="Unpriced","",IFERROR(P18/$G$5,IFERROR(P18/$G$4,0))),"")</f>
        <v>6.6833660546620363E-2</v>
      </c>
      <c r="P18" s="1421">
        <f>P16+P17</f>
        <v>281202.62674990518</v>
      </c>
      <c r="Q18" s="1133">
        <f>Q16+Q17</f>
        <v>-290062.61325009482</v>
      </c>
      <c r="R18" s="636"/>
      <c r="S18" s="636"/>
      <c r="T18" s="636"/>
      <c r="U18" s="635"/>
      <c r="V18" s="636"/>
      <c r="W18" s="636"/>
      <c r="X18" s="636"/>
      <c r="Y18" s="636"/>
      <c r="Z18" s="636"/>
    </row>
    <row r="19" spans="1:26" s="55" customFormat="1" ht="12" customHeight="1">
      <c r="A19" s="636"/>
      <c r="B19" s="636"/>
      <c r="C19" s="642"/>
      <c r="D19" s="642"/>
      <c r="E19" s="1358"/>
      <c r="F19" s="1358"/>
      <c r="G19" s="1358"/>
      <c r="H19" s="1358"/>
      <c r="I19" s="1358"/>
      <c r="J19" s="1370"/>
      <c r="K19" s="1358"/>
      <c r="L19" s="1397"/>
      <c r="M19" s="1422"/>
      <c r="N19" s="1423"/>
      <c r="O19" s="1422"/>
      <c r="P19" s="1423"/>
      <c r="Q19" s="786"/>
      <c r="R19" s="636"/>
      <c r="S19" s="636"/>
      <c r="T19" s="636"/>
      <c r="U19" s="636"/>
      <c r="V19" s="636"/>
      <c r="W19" s="636"/>
      <c r="X19" s="636"/>
      <c r="Y19" s="636"/>
      <c r="Z19" s="636"/>
    </row>
    <row r="20" spans="1:26" s="55" customFormat="1" ht="12" customHeight="1">
      <c r="A20" s="636"/>
      <c r="B20" s="636"/>
      <c r="C20" s="636"/>
      <c r="D20" s="636"/>
      <c r="E20" s="1358"/>
      <c r="F20" s="1358"/>
      <c r="G20" s="1358"/>
      <c r="H20" s="1358"/>
      <c r="I20" s="1358"/>
      <c r="J20" s="1358"/>
      <c r="K20" s="1358"/>
      <c r="L20" s="1370"/>
      <c r="M20" s="1373"/>
      <c r="N20" s="1424"/>
      <c r="O20" s="1425"/>
      <c r="P20" s="1424"/>
      <c r="Q20" s="787"/>
      <c r="R20" s="636"/>
      <c r="S20" s="788"/>
      <c r="T20" s="788"/>
      <c r="U20" s="788"/>
      <c r="V20" s="636"/>
      <c r="W20" s="636"/>
      <c r="X20" s="636"/>
      <c r="Y20" s="636"/>
      <c r="Z20" s="636"/>
    </row>
    <row r="21" spans="1:26" s="55" customFormat="1" ht="12" customHeight="1">
      <c r="A21" s="636"/>
      <c r="B21" s="636"/>
      <c r="C21" s="636"/>
      <c r="D21" s="642"/>
      <c r="E21" s="1353" t="s">
        <v>1788</v>
      </c>
      <c r="F21" s="1426"/>
      <c r="G21" s="1375"/>
      <c r="H21" s="1427" t="str">
        <f>IF(SwitchMezz="Yes",'Proposal Price IRR'!M20,'Proposal Price IRR'!N20)</f>
        <v>1st Loan</v>
      </c>
      <c r="I21" s="1375" t="str">
        <f>IF(SwitchMezz="Yes",'Proposal Price IRR'!N20,"")</f>
        <v/>
      </c>
      <c r="J21" s="1375"/>
      <c r="K21" s="1358"/>
      <c r="L21" s="1594" t="s">
        <v>1736</v>
      </c>
      <c r="M21" s="1594"/>
      <c r="N21" s="1375" t="str">
        <f>'Operating Statement'!O4</f>
        <v>Current</v>
      </c>
      <c r="O21" s="1428"/>
      <c r="P21" s="1375" t="str">
        <f>'Operating Statement'!Q4</f>
        <v>Pro Forma</v>
      </c>
      <c r="Q21" s="1072" t="str">
        <f>'Operating Statement'!S4</f>
        <v>Reno</v>
      </c>
      <c r="R21" s="636"/>
      <c r="S21" s="788"/>
      <c r="T21" s="788"/>
      <c r="U21" s="788"/>
      <c r="V21" s="636"/>
      <c r="W21" s="636"/>
      <c r="X21" s="636"/>
      <c r="Y21" s="636"/>
      <c r="Z21" s="636"/>
    </row>
    <row r="22" spans="1:26" s="55" customFormat="1" ht="12" customHeight="1">
      <c r="A22" s="636"/>
      <c r="B22" s="636"/>
      <c r="C22" s="636"/>
      <c r="D22" s="642"/>
      <c r="E22" s="1366" t="s">
        <v>1762</v>
      </c>
      <c r="F22" s="1361"/>
      <c r="G22" s="1362"/>
      <c r="H22" s="1368">
        <f>IF(SwitchMezz="Yes",'Proposal Price IRR'!M27,'Proposal Price IRR'!N27)</f>
        <v>5142500</v>
      </c>
      <c r="I22" s="1368" t="str">
        <f>IF(SwitchMezz="Yes",'Proposal Price IRR'!N27,"")</f>
        <v/>
      </c>
      <c r="J22" s="1368"/>
      <c r="K22" s="1358"/>
      <c r="L22" s="1366" t="str">
        <f>'Operating Statement'!E24</f>
        <v>Real Estate Taxes</v>
      </c>
      <c r="M22" s="1402"/>
      <c r="N22" s="1368">
        <f>'Operating Statement'!O24</f>
        <v>105655</v>
      </c>
      <c r="O22" s="1402"/>
      <c r="P22" s="1368">
        <f>'Operating Statement'!Q24</f>
        <v>105655</v>
      </c>
      <c r="Q22" s="1091">
        <f>'Operating Statement'!S24</f>
        <v>0</v>
      </c>
      <c r="R22" s="636"/>
      <c r="S22" s="636"/>
      <c r="T22" s="636"/>
      <c r="U22" s="636"/>
      <c r="V22" s="636"/>
      <c r="W22" s="636"/>
      <c r="X22" s="636"/>
      <c r="Y22" s="636"/>
      <c r="Z22" s="636"/>
    </row>
    <row r="23" spans="1:26" s="55" customFormat="1" ht="12" customHeight="1">
      <c r="A23" s="636"/>
      <c r="B23" s="636"/>
      <c r="C23" s="636"/>
      <c r="D23" s="642"/>
      <c r="E23" s="1366" t="s">
        <v>1763</v>
      </c>
      <c r="F23" s="1361"/>
      <c r="G23" s="1362"/>
      <c r="H23" s="1429" t="str">
        <f>IF(SwitchAcqMethod="All Cash","Free and Clear",IF(SwitchAcqMethod="Financed - New", "New", "Assumed"))</f>
        <v>New</v>
      </c>
      <c r="I23" s="1429" t="str">
        <f>IF(SwitchMezz="Yes","New","")</f>
        <v/>
      </c>
      <c r="J23" s="1429"/>
      <c r="K23" s="1358"/>
      <c r="L23" s="1366" t="str">
        <f>'Operating Statement'!E25</f>
        <v>Insurance</v>
      </c>
      <c r="M23" s="1402"/>
      <c r="N23" s="1368">
        <f>'Operating Statement'!O25</f>
        <v>28074</v>
      </c>
      <c r="O23" s="1402"/>
      <c r="P23" s="1368">
        <f>'Operating Statement'!Q25</f>
        <v>28074</v>
      </c>
      <c r="Q23" s="1091">
        <f>'Operating Statement'!S25</f>
        <v>0</v>
      </c>
      <c r="R23" s="636"/>
      <c r="S23" s="636"/>
      <c r="T23" s="636"/>
      <c r="U23" s="636"/>
      <c r="V23" s="636"/>
      <c r="W23" s="636"/>
      <c r="X23" s="636"/>
      <c r="Y23" s="636"/>
      <c r="Z23" s="636"/>
    </row>
    <row r="24" spans="1:26" s="55" customFormat="1" ht="12" customHeight="1">
      <c r="A24" s="636"/>
      <c r="B24" s="636"/>
      <c r="C24" s="636"/>
      <c r="D24" s="642"/>
      <c r="E24" s="1366" t="s">
        <v>1764</v>
      </c>
      <c r="F24" s="1361"/>
      <c r="G24" s="1362"/>
      <c r="H24" s="1402">
        <f>IF(H23="Free and Clear","N/A",IF(SwitchMezz="Yes",'Proposal Price IRR'!M21,'Proposal Price IRR'!N21))</f>
        <v>5.7500000000000002E-2</v>
      </c>
      <c r="I24" s="1402" t="str">
        <f>IF(SwitchMezz="Yes",'Proposal Price IRR'!N21,"")</f>
        <v/>
      </c>
      <c r="J24" s="1402"/>
      <c r="K24" s="1358"/>
      <c r="L24" s="1366" t="str">
        <f>'Operating Statement'!E27</f>
        <v>Utilities - Water &amp; Power</v>
      </c>
      <c r="M24" s="1402"/>
      <c r="N24" s="1368">
        <f>'Operating Statement'!O27</f>
        <v>24945.48</v>
      </c>
      <c r="O24" s="1402"/>
      <c r="P24" s="1368">
        <f>'Operating Statement'!Q27</f>
        <v>24945.48</v>
      </c>
      <c r="Q24" s="1091">
        <f>'Operating Statement'!S27</f>
        <v>0</v>
      </c>
      <c r="R24" s="636"/>
      <c r="S24" s="636"/>
      <c r="T24" s="636"/>
      <c r="U24" s="636"/>
      <c r="V24" s="636"/>
      <c r="W24" s="636"/>
      <c r="X24" s="636"/>
      <c r="Y24" s="636"/>
      <c r="Z24" s="636"/>
    </row>
    <row r="25" spans="1:26" s="55" customFormat="1" ht="12" customHeight="1">
      <c r="A25" s="636"/>
      <c r="B25" s="636"/>
      <c r="C25" s="636"/>
      <c r="D25" s="642"/>
      <c r="E25" s="1366" t="s">
        <v>1765</v>
      </c>
      <c r="F25" s="1361"/>
      <c r="G25" s="1362"/>
      <c r="H25" s="1430">
        <f>IF(H23="Free and Clear","N/A",IF(SwitchMezz="Yes",'Proposal Price IRR'!M22,'Proposal Price IRR'!N22))</f>
        <v>30</v>
      </c>
      <c r="I25" s="1430" t="str">
        <f>IF(SwitchMezz="Yes",'Proposal Price IRR'!N22,"")</f>
        <v/>
      </c>
      <c r="J25" s="1430"/>
      <c r="K25" s="1358"/>
      <c r="L25" s="1366" t="str">
        <f>'Operating Statement'!E28</f>
        <v>Utilities - Gas</v>
      </c>
      <c r="M25" s="1402"/>
      <c r="N25" s="1368">
        <f>'Operating Statement'!O28</f>
        <v>2979.2000000000003</v>
      </c>
      <c r="O25" s="1402"/>
      <c r="P25" s="1368">
        <f>'Operating Statement'!Q28</f>
        <v>2979.2000000000003</v>
      </c>
      <c r="Q25" s="1091">
        <f>'Operating Statement'!S28</f>
        <v>0</v>
      </c>
      <c r="R25" s="636"/>
      <c r="S25" s="636"/>
      <c r="T25" s="636"/>
      <c r="U25" s="636"/>
      <c r="V25" s="636"/>
      <c r="W25" s="636"/>
      <c r="X25" s="636"/>
      <c r="Y25" s="636"/>
      <c r="Z25" s="636"/>
    </row>
    <row r="26" spans="1:26" s="55" customFormat="1" ht="12" customHeight="1">
      <c r="A26" s="636"/>
      <c r="B26" s="636"/>
      <c r="C26" s="636"/>
      <c r="D26" s="642"/>
      <c r="E26" s="1387" t="s">
        <v>1766</v>
      </c>
      <c r="F26" s="1415"/>
      <c r="G26" s="1431"/>
      <c r="H26" s="1432">
        <f>IF(H23="Free and Clear","N/A",YEAR(Debt!E15))</f>
        <v>2029</v>
      </c>
      <c r="I26" s="1432" t="str">
        <f>IF(SwitchMezz="Yes",H26,"")</f>
        <v/>
      </c>
      <c r="J26" s="1432"/>
      <c r="K26" s="1358"/>
      <c r="L26" s="1366" t="str">
        <f>'Operating Statement'!E29</f>
        <v>Trash Removal</v>
      </c>
      <c r="M26" s="1402"/>
      <c r="N26" s="1368">
        <f>'Operating Statement'!O29</f>
        <v>17699.64</v>
      </c>
      <c r="O26" s="1402"/>
      <c r="P26" s="1368">
        <f>'Operating Statement'!Q29</f>
        <v>17699.64</v>
      </c>
      <c r="Q26" s="1091">
        <f>'Operating Statement'!S29</f>
        <v>0</v>
      </c>
      <c r="R26" s="636"/>
      <c r="S26" s="636"/>
      <c r="T26" s="636"/>
      <c r="U26" s="636"/>
      <c r="V26" s="636"/>
      <c r="W26" s="636"/>
      <c r="X26" s="636"/>
      <c r="Y26" s="636"/>
      <c r="Z26" s="636"/>
    </row>
    <row r="27" spans="1:26" s="55" customFormat="1" ht="12" customHeight="1">
      <c r="A27" s="636"/>
      <c r="B27" s="636"/>
      <c r="C27" s="636"/>
      <c r="D27" s="642"/>
      <c r="E27" s="1552" t="s">
        <v>1789</v>
      </c>
      <c r="F27" s="1433"/>
      <c r="G27" s="1361"/>
      <c r="H27" s="1361"/>
      <c r="I27" s="1361"/>
      <c r="J27" s="1361"/>
      <c r="K27" s="1358"/>
      <c r="L27" s="1366" t="str">
        <f>'Operating Statement'!E30</f>
        <v>Repairs &amp; Maintenance</v>
      </c>
      <c r="M27" s="1402"/>
      <c r="N27" s="1368">
        <f>'Operating Statement'!O30</f>
        <v>20250</v>
      </c>
      <c r="O27" s="1402"/>
      <c r="P27" s="1368">
        <f>'Operating Statement'!Q30</f>
        <v>20250</v>
      </c>
      <c r="Q27" s="1091">
        <f>'Operating Statement'!S30</f>
        <v>0</v>
      </c>
      <c r="R27" s="636"/>
      <c r="S27" s="636"/>
      <c r="T27" s="636"/>
      <c r="U27" s="636"/>
      <c r="V27" s="636"/>
      <c r="W27" s="636"/>
      <c r="X27" s="636"/>
      <c r="Y27" s="636"/>
      <c r="Z27" s="636"/>
    </row>
    <row r="28" spans="1:26" s="55" customFormat="1" ht="12" customHeight="1">
      <c r="A28" s="636"/>
      <c r="B28" s="636"/>
      <c r="C28" s="636"/>
      <c r="D28" s="642"/>
      <c r="E28" s="1595"/>
      <c r="F28" s="1595"/>
      <c r="G28" s="1595"/>
      <c r="H28" s="1595"/>
      <c r="I28" s="1595"/>
      <c r="J28" s="1595"/>
      <c r="K28" s="1358"/>
      <c r="L28" s="1366" t="str">
        <f>'Operating Statement'!E31</f>
        <v>Landscaping</v>
      </c>
      <c r="M28" s="1402"/>
      <c r="N28" s="1368">
        <f>'Operating Statement'!O31</f>
        <v>4800</v>
      </c>
      <c r="O28" s="1402"/>
      <c r="P28" s="1368">
        <f>'Operating Statement'!Q31</f>
        <v>4800</v>
      </c>
      <c r="Q28" s="1091">
        <f>'Operating Statement'!S31</f>
        <v>0</v>
      </c>
      <c r="R28" s="636"/>
      <c r="S28" s="636"/>
      <c r="T28" s="636"/>
      <c r="U28" s="636"/>
      <c r="V28" s="636"/>
      <c r="W28" s="636"/>
      <c r="X28" s="636"/>
      <c r="Y28" s="636"/>
      <c r="Z28" s="636"/>
    </row>
    <row r="29" spans="1:26" s="55" customFormat="1" ht="12" customHeight="1">
      <c r="A29" s="636"/>
      <c r="B29" s="636"/>
      <c r="C29" s="636"/>
      <c r="D29" s="642"/>
      <c r="E29" s="1353" t="s">
        <v>1790</v>
      </c>
      <c r="F29" s="1353" t="s">
        <v>1694</v>
      </c>
      <c r="G29" s="1434"/>
      <c r="H29" s="1427" t="s">
        <v>1791</v>
      </c>
      <c r="I29" s="1375" t="s">
        <v>1792</v>
      </c>
      <c r="J29" s="1375" t="s">
        <v>1793</v>
      </c>
      <c r="K29" s="1358"/>
      <c r="L29" s="1366" t="str">
        <f>'Operating Statement'!E33</f>
        <v>Pest Control</v>
      </c>
      <c r="M29" s="1402"/>
      <c r="N29" s="1368">
        <f>'Operating Statement'!O33</f>
        <v>700</v>
      </c>
      <c r="O29" s="1402"/>
      <c r="P29" s="1368">
        <f>'Operating Statement'!Q33</f>
        <v>700</v>
      </c>
      <c r="Q29" s="1091">
        <f>'Operating Statement'!S33</f>
        <v>0</v>
      </c>
      <c r="R29" s="636"/>
      <c r="S29" s="636"/>
      <c r="T29" s="790"/>
      <c r="U29" s="636"/>
      <c r="V29" s="636"/>
      <c r="W29" s="636"/>
      <c r="X29" s="636"/>
      <c r="Y29" s="636"/>
      <c r="Z29" s="636"/>
    </row>
    <row r="30" spans="1:26" s="55" customFormat="1" ht="12" customHeight="1">
      <c r="A30" s="636"/>
      <c r="B30" s="636"/>
      <c r="C30" s="636"/>
      <c r="D30" s="642"/>
      <c r="E30" s="1435">
        <f>IF(AND(SwitchRentRollType="Summary",NOT(ISBLANK('Rent Roll Summary Input'!D13))),'Rent Roll Summary Input'!D13,IF(AND(SwitchRentRollType="Detail",NOT(ISBLANK('Rent Roll Detail Input'!B12))),COUNTIFS('Rent Roll Detail Input'!$O:$O,$F30),""))</f>
        <v>2</v>
      </c>
      <c r="F30" s="1598" t="str">
        <f>IF(AND(SwitchRentRollType="Summary",NOT(ISBLANK('Rent Roll Summary Input'!B8))),'Rent Roll Summary Input'!B8,IF(AND(SwitchRentRollType="Detail",NOT(ISBLANK('Rent Roll Detail Input'!B12))),'Rent Roll Detail Input'!B12,""))</f>
        <v>1 Bed / 1 Bath</v>
      </c>
      <c r="G30" s="1598"/>
      <c r="H30" s="1383">
        <f>IF(AND(SwitchRentRollType="Summary",'Rent Roll Summary Input'!E13&lt;&gt;0),'Rent Roll Summary Input'!E13,IF(AND(SwitchRentRollType="Detail",NOT(ISBLANK('Rent Roll Detail Input'!$B12))),SUMIF('Rent Roll Detail Input'!$O:$O,$F30,'Rent Roll Detail Input'!$I:$I)/E30,""))</f>
        <v>650</v>
      </c>
      <c r="I30" s="1436">
        <f>IFERROR(IF(AND(SwitchRentRollType="Summary",'Rent Roll Summary Input'!G13&lt;&gt;0),'Rent Roll Summary Input'!G13,IF(AND(SwitchRentRollType="Detail",NOT(ISBLANK('Rent Roll Detail Input'!B12))),AVERAGEIFS('Rent Roll Detail Input'!$K$12:$K$1011,'Rent Roll Detail Input'!$O$12:$O$1011,F30,'Rent Roll Detail Input'!$K$12:$K$1011,"&lt;&gt;0"),"")),"")</f>
        <v>1922.5</v>
      </c>
      <c r="J30" s="1436">
        <f>IFERROR(IF(AND(SwitchRentRollType="Summary",'Rent Roll Summary Input'!H13&lt;&gt;0),'Rent Roll Summary Input'!H13,IF(AND(SwitchRentRollType="Detail",NOT(ISBLANK('Rent Roll Detail Input'!B12))),AVERAGEIFS('Rent Roll Detail Input'!$L:$L,'Rent Roll Detail Input'!$O:$O,$F30),"")),"")</f>
        <v>2295</v>
      </c>
      <c r="K30" s="1358"/>
      <c r="L30" s="1366" t="str">
        <f>'Operating Statement'!E34</f>
        <v>Onsite Manager</v>
      </c>
      <c r="M30" s="1402"/>
      <c r="N30" s="1368">
        <f>'Operating Statement'!O34</f>
        <v>24000</v>
      </c>
      <c r="O30" s="1402"/>
      <c r="P30" s="1368">
        <f>'Operating Statement'!Q34</f>
        <v>24000</v>
      </c>
      <c r="Q30" s="1091">
        <f>'Operating Statement'!S34</f>
        <v>0</v>
      </c>
      <c r="R30" s="636"/>
      <c r="S30" s="636"/>
      <c r="T30" s="636"/>
      <c r="U30" s="636"/>
      <c r="V30" s="636"/>
      <c r="W30" s="636"/>
      <c r="X30" s="636"/>
      <c r="Y30" s="636"/>
      <c r="Z30" s="636"/>
    </row>
    <row r="31" spans="1:26" s="55" customFormat="1" ht="12" customHeight="1">
      <c r="A31" s="636"/>
      <c r="B31" s="636"/>
      <c r="C31" s="636"/>
      <c r="D31" s="642"/>
      <c r="E31" s="1435">
        <f>IF(AND(SwitchRentRollType="Summary",NOT(ISBLANK('Rent Roll Summary Input'!D24))),'Rent Roll Summary Input'!D24,IF(AND(SwitchRentRollType="Detail",NOT(ISBLANK('Rent Roll Detail Input'!B17))),COUNTIFS('Rent Roll Detail Input'!$O:$O,$F31),0))</f>
        <v>24</v>
      </c>
      <c r="F31" s="1598" t="str">
        <f>IF(AND(SwitchRentRollType="Summary",NOT(ISBLANK('Rent Roll Summary Input'!B19))),'Rent Roll Summary Input'!B19,IF(AND(SwitchRentRollType="Detail",NOT(ISBLANK('Rent Roll Detail Input'!B17))),'Rent Roll Detail Input'!B17,""))</f>
        <v>2 Bed / 1 Bath</v>
      </c>
      <c r="G31" s="1598"/>
      <c r="H31" s="1383">
        <f>IF(AND(SwitchRentRollType="Summary",'Rent Roll Summary Input'!E24&lt;&gt;0),'Rent Roll Summary Input'!E24,IF(AND(SwitchRentRollType="Detail",NOT(ISBLANK('Rent Roll Detail Input'!$B17))),SUMIF('Rent Roll Detail Input'!$O:$O,$F31,'Rent Roll Detail Input'!$I:$I)/E31,""))</f>
        <v>750</v>
      </c>
      <c r="I31" s="1436">
        <f>IFERROR(IF(AND(SwitchRentRollType="Summary",'Rent Roll Summary Input'!G24&lt;&gt;0),'Rent Roll Summary Input'!G24,IF(AND(SwitchRentRollType="Detail",NOT(ISBLANK('Rent Roll Detail Input'!B17))),AVERAGEIFS('Rent Roll Detail Input'!$K$12:$K$1011,'Rent Roll Detail Input'!$O$12:$O$1011,F31,'Rent Roll Detail Input'!$K$12:$K$1011,"&lt;&gt;0"),"")),"")</f>
        <v>2203.5</v>
      </c>
      <c r="J31" s="1436">
        <f>IFERROR(IF(AND(SwitchRentRollType="Summary",'Rent Roll Summary Input'!H24&lt;&gt;0),'Rent Roll Summary Input'!H24,IF(AND(SwitchRentRollType="Detail",NOT(ISBLANK('Rent Roll Detail Input'!B17))),AVERAGEIFS('Rent Roll Detail Input'!$L:$L,'Rent Roll Detail Input'!$O:$O,$F31),"")),"")</f>
        <v>2650</v>
      </c>
      <c r="K31" s="1358"/>
      <c r="L31" s="1366" t="str">
        <f>'Operating Statement'!E35</f>
        <v>General &amp; Administrative</v>
      </c>
      <c r="M31" s="1402"/>
      <c r="N31" s="1368">
        <f>'Operating Statement'!O35</f>
        <v>2160</v>
      </c>
      <c r="O31" s="1402"/>
      <c r="P31" s="1368">
        <f>'Operating Statement'!Q35</f>
        <v>2160</v>
      </c>
      <c r="Q31" s="1091">
        <f>'Operating Statement'!S35</f>
        <v>0</v>
      </c>
      <c r="R31" s="636"/>
      <c r="S31" s="636"/>
      <c r="T31" s="636"/>
      <c r="U31" s="636"/>
      <c r="V31" s="636"/>
      <c r="W31" s="636"/>
      <c r="X31" s="636"/>
      <c r="Y31" s="636"/>
      <c r="Z31" s="636"/>
    </row>
    <row r="32" spans="1:26" s="55" customFormat="1" ht="12" customHeight="1">
      <c r="A32" s="636"/>
      <c r="B32" s="636"/>
      <c r="C32" s="636"/>
      <c r="D32" s="642"/>
      <c r="E32" s="1435">
        <f>IF(AND(SwitchRentRollType="Summary",NOT(ISBLANK('Rent Roll Summary Input'!D35))),'Rent Roll Summary Input'!D35,IF(AND(SwitchRentRollType="Detail",NOT(ISBLANK('Rent Roll Detail Input'!B22))),COUNTIFS('Rent Roll Detail Input'!$O:$O,$F32),0))</f>
        <v>1</v>
      </c>
      <c r="F32" s="1598" t="str">
        <f>IF(AND(SwitchRentRollType="Summary",NOT(ISBLANK('Rent Roll Summary Input'!B30))),'Rent Roll Summary Input'!B30,IF(AND(SwitchRentRollType="Detail",NOT(ISBLANK('Rent Roll Detail Input'!B22))),'Rent Roll Detail Input'!B22,""))</f>
        <v>4 Bed / 3 Bath House</v>
      </c>
      <c r="G32" s="1598"/>
      <c r="H32" s="1383">
        <f>IF(AND(SwitchRentRollType="Summary",'Rent Roll Summary Input'!E35&lt;&gt;0),'Rent Roll Summary Input'!E35,IF(AND(SwitchRentRollType="Detail",NOT(ISBLANK('Rent Roll Detail Input'!$B22))),SUMIF('Rent Roll Detail Input'!$O:$O,$F32,'Rent Roll Detail Input'!$I:$I)/E32,""))</f>
        <v>2500</v>
      </c>
      <c r="I32" s="1436">
        <f>IFERROR(IF(AND(SwitchRentRollType="Summary",'Rent Roll Summary Input'!G35&lt;&gt;0),'Rent Roll Summary Input'!G35,IF(AND(SwitchRentRollType="Detail",NOT(ISBLANK('Rent Roll Detail Input'!B22))),AVERAGEIFS('Rent Roll Detail Input'!$K$12:$K$1011,'Rent Roll Detail Input'!$O$12:$O$1011,F32,'Rent Roll Detail Input'!$K$12:$K$1011,"&lt;&gt;0"),"")),"")</f>
        <v>5000</v>
      </c>
      <c r="J32" s="1436">
        <f>IFERROR(IF(AND(SwitchRentRollType="Summary",'Rent Roll Summary Input'!H35&lt;&gt;0),'Rent Roll Summary Input'!H35,IF(AND(SwitchRentRollType="Detail",NOT(ISBLANK('Rent Roll Detail Input'!B22))),AVERAGEIFS('Rent Roll Detail Input'!$L:$L,'Rent Roll Detail Input'!$O:$O,$F32),"")),"")</f>
        <v>5000</v>
      </c>
      <c r="K32" s="1358"/>
      <c r="L32" s="1366" t="str">
        <f>'Operating Statement'!E37</f>
        <v>Operating Reserves</v>
      </c>
      <c r="M32" s="1402"/>
      <c r="N32" s="1368">
        <f>'Operating Statement'!O37</f>
        <v>4050</v>
      </c>
      <c r="O32" s="1402"/>
      <c r="P32" s="1368">
        <f>'Operating Statement'!Q37</f>
        <v>4050</v>
      </c>
      <c r="Q32" s="1091">
        <f>'Operating Statement'!S37</f>
        <v>0</v>
      </c>
      <c r="R32" s="636"/>
      <c r="S32" s="636"/>
      <c r="T32" s="636"/>
      <c r="U32" s="636"/>
      <c r="V32" s="636"/>
      <c r="W32" s="636"/>
      <c r="X32" s="636"/>
      <c r="Y32" s="636"/>
      <c r="Z32" s="636"/>
    </row>
    <row r="33" spans="1:26" s="55" customFormat="1" ht="12" customHeight="1">
      <c r="A33" s="636"/>
      <c r="B33" s="636"/>
      <c r="C33" s="636"/>
      <c r="D33" s="642"/>
      <c r="E33" s="1435">
        <f>IF(AND(SwitchRentRollType="Summary",NOT(ISBLANK('Rent Roll Summary Input'!D46))),'Rent Roll Summary Input'!D46,IF(AND(SwitchRentRollType="Detail",NOT(ISBLANK('Rent Roll Detail Input'!B27))),COUNTIFS('Rent Roll Detail Input'!$O:$O,$F33),0))</f>
        <v>0</v>
      </c>
      <c r="F33" s="1598" t="str">
        <f>IF(AND(SwitchRentRollType="Summary",NOT(ISBLANK('Rent Roll Summary Input'!B41))),'Rent Roll Summary Input'!B41,IF(AND(SwitchRentRollType="Detail",NOT(ISBLANK('Rent Roll Detail Input'!B27))),'Rent Roll Detail Input'!B27,""))</f>
        <v/>
      </c>
      <c r="G33" s="1598"/>
      <c r="H33" s="1383" t="str">
        <f>IF(AND(SwitchRentRollType="Summary",'Rent Roll Summary Input'!E46&lt;&gt;0),'Rent Roll Summary Input'!E46,IF(AND(SwitchRentRollType="Detail",LEN('Rent Roll Detail Input'!B$27)&gt;0),SUMIF('Rent Roll Detail Input'!$O:$O,$F33,'Rent Roll Detail Input'!$I:$I)/E33,""))</f>
        <v/>
      </c>
      <c r="I33" s="1436" t="str">
        <f>IFERROR(IF(AND(SwitchRentRollType="Summary",'Rent Roll Summary Input'!G46&lt;&gt;0),'Rent Roll Summary Input'!G46,IF(AND(SwitchRentRollType="Detail",NOT(ISBLANK('Rent Roll Detail Input'!B27))),AVERAGEIFS('Rent Roll Detail Input'!$K$12:$K$1011,'Rent Roll Detail Input'!$O$12:$O$1011,F33,'Rent Roll Detail Input'!$K$12:$K$1011,"&lt;&gt;0"),"")),"")</f>
        <v/>
      </c>
      <c r="J33" s="1436" t="str">
        <f>IFERROR(IF(AND(SwitchRentRollType="Summary",'Rent Roll Summary Input'!H46&lt;&gt;0),'Rent Roll Summary Input'!H46,IF(AND(SwitchRentRollType="Detail",NOT(ISBLANK('Rent Roll Detail Input'!B27))),AVERAGEIFS('Rent Roll Detail Input'!$L:$L,'Rent Roll Detail Input'!$O:$O,$F33),"")),"")</f>
        <v/>
      </c>
      <c r="K33" s="1358"/>
      <c r="L33" s="1366" t="str">
        <f>'Operating Statement'!E38</f>
        <v>Management Fee</v>
      </c>
      <c r="M33" s="1402"/>
      <c r="N33" s="1368">
        <f>'Operating Statement'!O38</f>
        <v>28381.223999999998</v>
      </c>
      <c r="O33" s="1402"/>
      <c r="P33" s="1368">
        <f>'Operating Statement'!Q38</f>
        <v>33607.440000000002</v>
      </c>
      <c r="Q33" s="1091">
        <f>'Operating Statement'!S38</f>
        <v>0</v>
      </c>
      <c r="R33" s="636"/>
      <c r="S33" s="636"/>
      <c r="T33" s="636"/>
      <c r="U33" s="636"/>
      <c r="V33" s="636"/>
      <c r="W33" s="636"/>
      <c r="X33" s="636"/>
      <c r="Y33" s="636"/>
      <c r="Z33" s="636"/>
    </row>
    <row r="34" spans="1:26" s="55" customFormat="1" ht="12" customHeight="1">
      <c r="A34" s="636"/>
      <c r="B34" s="636"/>
      <c r="C34" s="636"/>
      <c r="D34" s="636"/>
      <c r="E34" s="1435">
        <f>IF(AND(SwitchRentRollType="Summary",NOT(ISBLANK('Rent Roll Summary Input'!D57))),'Rent Roll Summary Input'!D57,IF(AND(SwitchRentRollType="Detail",NOT(ISBLANK('Rent Roll Detail Input'!B32))),COUNTIFS('Rent Roll Detail Input'!$O:$O,$F34),0))</f>
        <v>0</v>
      </c>
      <c r="F34" s="1598" t="str">
        <f>IF(AND(SwitchRentRollType="Summary",NOT(ISBLANK('Rent Roll Summary Input'!B52))),'Rent Roll Summary Input'!B52,IF(AND(SwitchRentRollType="Detail",NOT(ISBLANK('Rent Roll Detail Input'!B32))),'Rent Roll Detail Input'!B32,""))</f>
        <v/>
      </c>
      <c r="G34" s="1598"/>
      <c r="H34" s="1437" t="str">
        <f>IF(AND(SwitchRentRollType="Summary",'Rent Roll Summary Input'!E57&lt;&gt;0),'Rent Roll Summary Input'!E57,IF(AND(SwitchRentRollType="Detail",LEN('Rent Roll Detail Input'!B$32)&gt;0),SUMIF('Rent Roll Detail Input'!$O:$O,$F34,'Rent Roll Detail Input'!$I:$I)/E34,""))</f>
        <v/>
      </c>
      <c r="I34" s="1438" t="str">
        <f>IFERROR(IF(AND(SwitchRentRollType="Summary",'Rent Roll Summary Input'!G57&lt;&gt;0),'Rent Roll Summary Input'!G57,IF(AND(SwitchRentRollType="Detail",NOT(ISBLANK('Rent Roll Detail Input'!B32))),AVERAGEIFS('Rent Roll Detail Input'!$K$12:$K$1011,'Rent Roll Detail Input'!$O$12:$O$1011,F34,'Rent Roll Detail Input'!$K$12:$K$1011,"&lt;&gt;0"),"")),"")</f>
        <v/>
      </c>
      <c r="J34" s="1438" t="str">
        <f>IFERROR(IF(AND(SwitchRentRollType="Summary",'Rent Roll Summary Input'!H57&lt;&gt;0),'Rent Roll Summary Input'!H57,IF(AND(SwitchRentRollType="Detail",NOT(ISBLANK('Rent Roll Detail Input'!B32))),AVERAGEIFS('Rent Roll Detail Input'!$L:$L,'Rent Roll Detail Input'!$O:$O,$F34),"")),"")</f>
        <v/>
      </c>
      <c r="K34" s="1358"/>
      <c r="L34" s="1354" t="s">
        <v>1742</v>
      </c>
      <c r="M34" s="1439"/>
      <c r="N34" s="1440">
        <f>SUM(N22:N33)</f>
        <v>263694.54399999999</v>
      </c>
      <c r="O34" s="1440"/>
      <c r="P34" s="1440">
        <f>SUM(P22:P33)</f>
        <v>268920.76</v>
      </c>
      <c r="Q34" s="791">
        <f>SUM(Q22:Q33)</f>
        <v>0</v>
      </c>
      <c r="R34" s="636"/>
      <c r="S34" s="636"/>
      <c r="T34" s="636"/>
      <c r="U34" s="636"/>
      <c r="V34" s="636"/>
      <c r="W34" s="636"/>
      <c r="X34" s="636"/>
      <c r="Y34" s="636"/>
      <c r="Z34" s="636"/>
    </row>
    <row r="35" spans="1:26" s="55" customFormat="1" ht="12" customHeight="1">
      <c r="A35" s="636"/>
      <c r="B35" s="636"/>
      <c r="C35" s="636"/>
      <c r="D35" s="636"/>
      <c r="E35" s="1595"/>
      <c r="F35" s="1595"/>
      <c r="G35" s="1595"/>
      <c r="H35" s="1595"/>
      <c r="I35" s="1595"/>
      <c r="J35" s="1595"/>
      <c r="K35" s="1358"/>
      <c r="L35" s="1442" t="s">
        <v>1777</v>
      </c>
      <c r="M35" s="1443"/>
      <c r="N35" s="1444">
        <f>IFERROR(N34/$G$6,0)</f>
        <v>9766.4645925925925</v>
      </c>
      <c r="O35" s="1444"/>
      <c r="P35" s="1444">
        <f>IFERROR(P34/$G$6,0)</f>
        <v>9960.0281481481488</v>
      </c>
      <c r="Q35" s="793">
        <f>IFERROR(Q34/$G$6,0)</f>
        <v>0</v>
      </c>
      <c r="R35" s="636"/>
      <c r="S35" s="636"/>
      <c r="T35" s="636"/>
      <c r="U35" s="636"/>
      <c r="V35" s="636"/>
      <c r="W35" s="636"/>
      <c r="X35" s="636"/>
      <c r="Y35" s="636"/>
      <c r="Z35" s="636"/>
    </row>
    <row r="36" spans="1:26" s="55" customFormat="1" ht="12" customHeight="1">
      <c r="A36" s="636"/>
      <c r="B36" s="636"/>
      <c r="C36" s="636"/>
      <c r="D36" s="642"/>
      <c r="E36" s="1353" t="s">
        <v>1794</v>
      </c>
      <c r="F36" s="1399"/>
      <c r="G36" s="1428" t="s">
        <v>1795</v>
      </c>
      <c r="H36" s="1428" t="str">
        <f>IF(SwitchAcqMethod="All Cash","IRR Unlevered","IRR Levered")</f>
        <v>IRR Levered</v>
      </c>
      <c r="I36" s="1358"/>
      <c r="J36" s="1358"/>
      <c r="K36" s="1358"/>
      <c r="L36" s="1446" t="s">
        <v>1778</v>
      </c>
      <c r="M36" s="1447"/>
      <c r="N36" s="1448">
        <f>IFERROR(N34/$G$9,0)</f>
        <v>11.629820234629973</v>
      </c>
      <c r="O36" s="1449"/>
      <c r="P36" s="1448">
        <f>IFERROR(P34/$G$9,0)</f>
        <v>11.86031401605363</v>
      </c>
      <c r="Q36" s="794">
        <f>IFERROR(Q34/$G$9,0)</f>
        <v>0</v>
      </c>
      <c r="R36" s="636"/>
      <c r="S36" s="636"/>
      <c r="T36" s="636"/>
      <c r="U36" s="636"/>
      <c r="V36" s="636"/>
      <c r="W36" s="636"/>
      <c r="X36" s="636"/>
      <c r="Y36" s="636"/>
      <c r="Z36" s="636"/>
    </row>
    <row r="37" spans="1:26" s="55" customFormat="1" ht="12" customHeight="1">
      <c r="A37" s="636"/>
      <c r="B37" s="636"/>
      <c r="C37" s="636"/>
      <c r="D37" s="642"/>
      <c r="E37" s="1435">
        <v>5</v>
      </c>
      <c r="F37" s="1364"/>
      <c r="G37" s="1402">
        <f>IFERROR('Cash Flow'!F55,0)</f>
        <v>0</v>
      </c>
      <c r="H37" s="1402">
        <f>IFERROR('Cash Flow'!F68,0)</f>
        <v>0</v>
      </c>
      <c r="I37" s="1358"/>
      <c r="J37" s="1358"/>
      <c r="K37" s="1358"/>
      <c r="L37" s="636"/>
      <c r="M37" s="761"/>
      <c r="N37" s="635"/>
      <c r="O37" s="761"/>
      <c r="P37" s="635"/>
      <c r="Q37" s="636"/>
      <c r="R37" s="636"/>
      <c r="S37" s="636"/>
      <c r="T37" s="636"/>
      <c r="U37" s="636"/>
      <c r="V37" s="636"/>
      <c r="W37" s="636"/>
      <c r="X37" s="636"/>
      <c r="Y37" s="636"/>
      <c r="Z37" s="636"/>
    </row>
    <row r="38" spans="1:26" s="55" customFormat="1" ht="12" customHeight="1">
      <c r="A38" s="636"/>
      <c r="B38" s="636"/>
      <c r="C38" s="636"/>
      <c r="D38" s="642"/>
      <c r="E38" s="1435">
        <v>7</v>
      </c>
      <c r="F38" s="1364"/>
      <c r="G38" s="1402">
        <f>IFERROR('Cash Flow'!F57,0)</f>
        <v>0</v>
      </c>
      <c r="H38" s="1402">
        <f>IFERROR('Cash Flow'!F70,0)</f>
        <v>0</v>
      </c>
      <c r="I38" s="1441"/>
      <c r="J38" s="1441"/>
      <c r="K38" s="1358"/>
      <c r="L38" s="636"/>
      <c r="M38" s="774"/>
      <c r="N38" s="775"/>
      <c r="O38" s="797"/>
      <c r="P38" s="775"/>
      <c r="Q38" s="636"/>
      <c r="R38" s="636"/>
      <c r="S38" s="636"/>
      <c r="T38" s="636"/>
      <c r="U38" s="636"/>
      <c r="V38" s="636"/>
      <c r="W38" s="636"/>
      <c r="X38" s="636"/>
      <c r="Y38" s="636"/>
      <c r="Z38" s="636"/>
    </row>
    <row r="39" spans="1:26" s="58" customFormat="1" ht="12" customHeight="1">
      <c r="A39" s="643"/>
      <c r="B39" s="643"/>
      <c r="C39" s="643"/>
      <c r="D39" s="642"/>
      <c r="E39" s="1445">
        <v>10</v>
      </c>
      <c r="F39" s="1389"/>
      <c r="G39" s="1412">
        <f>IFERROR('Cash Flow'!F60,0)</f>
        <v>-4.8414069588595399E-2</v>
      </c>
      <c r="H39" s="1412">
        <f>IFERROR('Cash Flow'!F73,0)</f>
        <v>0</v>
      </c>
      <c r="I39" s="1441"/>
      <c r="J39" s="1441"/>
      <c r="K39" s="1441"/>
      <c r="L39" s="636"/>
      <c r="M39" s="761"/>
      <c r="N39" s="635"/>
      <c r="O39" s="761"/>
      <c r="P39" s="635"/>
      <c r="Q39" s="636"/>
      <c r="R39" s="643"/>
      <c r="S39" s="643"/>
      <c r="T39" s="643"/>
      <c r="U39" s="643"/>
      <c r="V39" s="643"/>
      <c r="W39" s="643"/>
      <c r="X39" s="643"/>
      <c r="Y39" s="643"/>
      <c r="Z39" s="643"/>
    </row>
    <row r="40" spans="1:26" s="58" customFormat="1" ht="13.5" customHeight="1">
      <c r="A40" s="643"/>
      <c r="B40" s="643"/>
      <c r="C40" s="643"/>
      <c r="D40" s="642"/>
      <c r="E40" s="642"/>
      <c r="F40" s="642"/>
      <c r="G40" s="642"/>
      <c r="H40" s="795"/>
      <c r="I40" s="643"/>
      <c r="J40" s="643"/>
      <c r="K40" s="643"/>
      <c r="L40" s="589"/>
      <c r="M40" s="592"/>
      <c r="N40" s="641"/>
      <c r="O40" s="592"/>
      <c r="P40" s="641"/>
      <c r="Q40" s="636"/>
      <c r="R40" s="643"/>
      <c r="S40" s="643"/>
      <c r="T40" s="643"/>
      <c r="U40" s="643"/>
      <c r="V40" s="643"/>
      <c r="W40" s="643"/>
      <c r="X40" s="643"/>
      <c r="Y40" s="643"/>
      <c r="Z40" s="643"/>
    </row>
    <row r="41" spans="1:26" s="58" customFormat="1" ht="11.25" customHeight="1">
      <c r="A41" s="643"/>
      <c r="B41" s="643"/>
      <c r="C41" s="643"/>
      <c r="D41" s="642"/>
      <c r="E41" s="636"/>
      <c r="F41" s="636"/>
      <c r="G41" s="636"/>
      <c r="H41" s="636"/>
      <c r="I41" s="796"/>
      <c r="J41" s="796"/>
      <c r="K41" s="643"/>
      <c r="L41" s="589"/>
      <c r="M41" s="592"/>
      <c r="N41" s="641"/>
      <c r="O41" s="592"/>
      <c r="P41" s="641"/>
      <c r="Q41" s="636"/>
      <c r="R41" s="643"/>
      <c r="S41" s="643"/>
      <c r="T41" s="643"/>
      <c r="U41" s="643"/>
      <c r="V41" s="643"/>
      <c r="W41" s="643"/>
      <c r="X41" s="643"/>
      <c r="Y41" s="643"/>
      <c r="Z41" s="643"/>
    </row>
    <row r="42" spans="1:26" s="58" customFormat="1" ht="11.25" customHeight="1">
      <c r="A42" s="643"/>
      <c r="B42" s="643"/>
      <c r="C42" s="643"/>
      <c r="D42" s="642"/>
      <c r="E42" s="589"/>
      <c r="F42" s="589"/>
      <c r="G42" s="589"/>
      <c r="H42" s="589"/>
      <c r="I42" s="636"/>
      <c r="J42" s="636"/>
      <c r="K42" s="643"/>
      <c r="L42" s="589"/>
      <c r="M42" s="592"/>
      <c r="N42" s="641"/>
      <c r="O42" s="592"/>
      <c r="P42" s="641"/>
      <c r="Q42" s="636"/>
      <c r="R42" s="643"/>
      <c r="S42" s="643"/>
      <c r="T42" s="643"/>
      <c r="U42" s="643"/>
      <c r="V42" s="643"/>
      <c r="W42" s="643"/>
      <c r="X42" s="643"/>
      <c r="Y42" s="643"/>
      <c r="Z42" s="643"/>
    </row>
    <row r="43" spans="1:26" s="55" customFormat="1" ht="11.25" customHeight="1">
      <c r="A43" s="636"/>
      <c r="B43" s="636"/>
      <c r="C43" s="643"/>
      <c r="D43" s="642"/>
      <c r="E43" s="589"/>
      <c r="F43" s="589"/>
      <c r="G43" s="589"/>
      <c r="H43" s="589"/>
      <c r="I43" s="589"/>
      <c r="J43" s="589"/>
      <c r="K43" s="636"/>
      <c r="L43" s="589"/>
      <c r="M43" s="592"/>
      <c r="N43" s="641"/>
      <c r="O43" s="592"/>
      <c r="P43" s="641"/>
      <c r="Q43" s="636"/>
      <c r="R43" s="636"/>
      <c r="S43" s="636"/>
      <c r="T43" s="636"/>
      <c r="U43" s="636"/>
      <c r="V43" s="636"/>
      <c r="W43" s="636"/>
      <c r="X43" s="636"/>
      <c r="Y43" s="636"/>
      <c r="Z43" s="636"/>
    </row>
    <row r="44" spans="1:26" s="55" customFormat="1" ht="11.25" customHeight="1">
      <c r="A44" s="636"/>
      <c r="B44" s="636"/>
      <c r="C44" s="643"/>
      <c r="D44" s="642"/>
      <c r="E44" s="589"/>
      <c r="F44" s="589"/>
      <c r="G44" s="589"/>
      <c r="H44" s="589"/>
      <c r="I44" s="589"/>
      <c r="J44" s="589"/>
      <c r="K44" s="636"/>
      <c r="L44" s="589"/>
      <c r="M44" s="592"/>
      <c r="N44" s="641"/>
      <c r="O44" s="592"/>
      <c r="P44" s="641"/>
      <c r="Q44" s="636"/>
      <c r="R44" s="636"/>
      <c r="S44" s="636"/>
      <c r="T44" s="636"/>
      <c r="U44" s="636"/>
      <c r="V44" s="636"/>
      <c r="W44" s="636"/>
      <c r="X44" s="636"/>
      <c r="Y44" s="636"/>
      <c r="Z44" s="636"/>
    </row>
    <row r="45" spans="1:26" s="55" customFormat="1" ht="11.25" customHeight="1">
      <c r="A45" s="636"/>
      <c r="B45" s="636"/>
      <c r="C45" s="643"/>
      <c r="D45" s="642"/>
      <c r="E45" s="589"/>
      <c r="F45" s="589"/>
      <c r="G45" s="589"/>
      <c r="H45" s="589"/>
      <c r="I45" s="589"/>
      <c r="J45" s="589"/>
      <c r="K45" s="636"/>
      <c r="L45" s="589"/>
      <c r="M45" s="592"/>
      <c r="N45" s="641"/>
      <c r="O45" s="592"/>
      <c r="P45" s="641"/>
      <c r="Q45" s="636"/>
      <c r="R45" s="636"/>
      <c r="S45" s="636"/>
      <c r="T45" s="636"/>
      <c r="U45" s="636"/>
      <c r="V45" s="636"/>
      <c r="W45" s="636"/>
      <c r="X45" s="636"/>
      <c r="Y45" s="636"/>
      <c r="Z45" s="636"/>
    </row>
    <row r="46" spans="1:26" s="55" customFormat="1" ht="11.25" customHeight="1">
      <c r="A46" s="636"/>
      <c r="B46" s="636"/>
      <c r="C46" s="636"/>
      <c r="D46" s="636"/>
      <c r="E46" s="589"/>
      <c r="F46" s="589"/>
      <c r="G46" s="589"/>
      <c r="H46" s="589"/>
      <c r="I46" s="589"/>
      <c r="J46" s="589"/>
      <c r="K46" s="636"/>
      <c r="L46" s="589"/>
      <c r="M46" s="592"/>
      <c r="N46" s="641"/>
      <c r="O46" s="592"/>
      <c r="P46" s="641"/>
      <c r="Q46" s="636"/>
      <c r="R46" s="636"/>
      <c r="S46" s="636"/>
      <c r="T46" s="636"/>
      <c r="U46" s="636"/>
      <c r="V46" s="636"/>
      <c r="W46" s="636"/>
      <c r="X46" s="636"/>
      <c r="Y46" s="636"/>
      <c r="Z46" s="636"/>
    </row>
    <row r="47" spans="1:26" s="55" customFormat="1" ht="11.25" customHeight="1">
      <c r="A47" s="589"/>
      <c r="B47" s="589"/>
      <c r="C47" s="589"/>
      <c r="D47" s="589"/>
      <c r="E47" s="589"/>
      <c r="F47" s="589"/>
      <c r="G47" s="589"/>
      <c r="H47" s="589"/>
      <c r="I47" s="589"/>
      <c r="J47" s="589"/>
      <c r="K47" s="636"/>
      <c r="L47" s="589"/>
      <c r="M47" s="592"/>
      <c r="N47" s="641"/>
      <c r="O47" s="592"/>
      <c r="P47" s="641"/>
      <c r="Q47" s="589"/>
      <c r="R47" s="636"/>
      <c r="S47" s="636"/>
      <c r="T47" s="636"/>
      <c r="U47" s="636"/>
      <c r="V47" s="636"/>
      <c r="W47" s="636"/>
      <c r="X47" s="636"/>
      <c r="Y47" s="636"/>
      <c r="Z47" s="636"/>
    </row>
    <row r="48" spans="1:26" s="55" customFormat="1" ht="11.25" customHeight="1">
      <c r="A48" s="589"/>
      <c r="B48" s="589"/>
      <c r="C48" s="589"/>
      <c r="D48" s="589"/>
      <c r="E48" s="589"/>
      <c r="F48" s="589"/>
      <c r="G48" s="589"/>
      <c r="H48" s="589"/>
      <c r="I48" s="589"/>
      <c r="J48" s="589"/>
      <c r="K48" s="636"/>
      <c r="L48" s="589"/>
      <c r="M48" s="592"/>
      <c r="N48" s="641"/>
      <c r="O48" s="592"/>
      <c r="P48" s="641"/>
      <c r="Q48" s="589"/>
      <c r="R48" s="636"/>
      <c r="S48" s="636"/>
      <c r="T48" s="636"/>
      <c r="U48" s="636"/>
      <c r="V48" s="636"/>
      <c r="W48" s="636"/>
      <c r="X48" s="636"/>
      <c r="Y48" s="636"/>
      <c r="Z48" s="636"/>
    </row>
    <row r="49" spans="1:26" s="55" customFormat="1" ht="11.25" customHeight="1">
      <c r="A49" s="589"/>
      <c r="B49" s="589"/>
      <c r="C49" s="589"/>
      <c r="D49" s="589"/>
      <c r="E49" s="589"/>
      <c r="F49" s="589"/>
      <c r="G49" s="589"/>
      <c r="H49" s="589"/>
      <c r="I49" s="589"/>
      <c r="J49" s="589"/>
      <c r="K49" s="636"/>
      <c r="L49" s="589"/>
      <c r="M49" s="592"/>
      <c r="N49" s="641"/>
      <c r="O49" s="592"/>
      <c r="P49" s="641"/>
      <c r="Q49" s="589"/>
      <c r="R49" s="636"/>
      <c r="S49" s="636"/>
      <c r="T49" s="636"/>
      <c r="U49" s="636"/>
      <c r="V49" s="636"/>
      <c r="W49" s="636"/>
      <c r="X49" s="636"/>
      <c r="Y49" s="636"/>
      <c r="Z49" s="636"/>
    </row>
    <row r="50" spans="1:26" ht="11.25" customHeight="1">
      <c r="A50" s="589"/>
      <c r="B50" s="589"/>
      <c r="C50" s="589"/>
      <c r="D50" s="589"/>
      <c r="E50" s="589"/>
      <c r="F50" s="589"/>
      <c r="G50" s="589"/>
      <c r="H50" s="589"/>
      <c r="I50" s="589"/>
      <c r="J50" s="589"/>
      <c r="K50" s="589"/>
      <c r="L50" s="589"/>
      <c r="M50" s="592"/>
      <c r="N50" s="641"/>
      <c r="O50" s="592"/>
      <c r="P50" s="641"/>
      <c r="Q50" s="589"/>
      <c r="R50" s="589"/>
      <c r="S50" s="589"/>
      <c r="T50" s="589"/>
      <c r="U50" s="589"/>
      <c r="V50" s="589"/>
      <c r="W50" s="589"/>
      <c r="X50" s="589"/>
      <c r="Y50" s="589"/>
      <c r="Z50" s="589"/>
    </row>
    <row r="51" spans="1:26" ht="11.25" customHeight="1">
      <c r="A51" s="589"/>
      <c r="B51" s="589"/>
      <c r="C51" s="589"/>
      <c r="D51" s="589"/>
      <c r="E51" s="589"/>
      <c r="F51" s="589"/>
      <c r="G51" s="589"/>
      <c r="H51" s="589"/>
      <c r="I51" s="589"/>
      <c r="J51" s="589"/>
      <c r="K51" s="589"/>
      <c r="L51" s="589"/>
      <c r="M51" s="592"/>
      <c r="N51" s="641"/>
      <c r="O51" s="592"/>
      <c r="P51" s="641"/>
      <c r="Q51" s="589"/>
      <c r="R51" s="589"/>
      <c r="S51" s="589"/>
      <c r="T51" s="589"/>
      <c r="U51" s="589"/>
      <c r="V51" s="589"/>
      <c r="W51" s="589"/>
      <c r="X51" s="589"/>
      <c r="Y51" s="589"/>
      <c r="Z51" s="589"/>
    </row>
    <row r="52" spans="1:26" ht="11.25" customHeight="1">
      <c r="A52" s="589"/>
      <c r="B52" s="589"/>
      <c r="C52" s="589"/>
      <c r="D52" s="589"/>
      <c r="E52" s="589"/>
      <c r="F52" s="589"/>
      <c r="G52" s="589"/>
      <c r="H52" s="589"/>
      <c r="I52" s="589"/>
      <c r="J52" s="589"/>
      <c r="K52" s="589"/>
      <c r="L52" s="589"/>
      <c r="M52" s="592"/>
      <c r="N52" s="641"/>
      <c r="O52" s="592"/>
      <c r="P52" s="641"/>
      <c r="Q52" s="589"/>
      <c r="R52" s="589"/>
      <c r="S52" s="589"/>
      <c r="T52" s="589"/>
      <c r="U52" s="589"/>
      <c r="V52" s="589"/>
      <c r="W52" s="589"/>
      <c r="X52" s="589"/>
      <c r="Y52" s="589"/>
      <c r="Z52" s="589"/>
    </row>
    <row r="53" spans="1:26" ht="11.25" customHeight="1">
      <c r="A53" s="589"/>
      <c r="B53" s="589"/>
      <c r="C53" s="589"/>
      <c r="D53" s="589"/>
      <c r="E53" s="589"/>
      <c r="F53" s="589"/>
      <c r="G53" s="589"/>
      <c r="H53" s="589"/>
      <c r="I53" s="589"/>
      <c r="J53" s="589"/>
      <c r="K53" s="589"/>
      <c r="L53" s="589"/>
      <c r="M53" s="592"/>
      <c r="N53" s="641"/>
      <c r="O53" s="592"/>
      <c r="P53" s="641"/>
      <c r="Q53" s="589"/>
      <c r="R53" s="589"/>
      <c r="S53" s="589"/>
      <c r="T53" s="589"/>
      <c r="U53" s="589"/>
      <c r="V53" s="589"/>
      <c r="W53" s="589"/>
      <c r="X53" s="589"/>
      <c r="Y53" s="589"/>
      <c r="Z53" s="589"/>
    </row>
    <row r="54" spans="1:26" ht="11.25" customHeight="1">
      <c r="A54" s="589"/>
      <c r="B54" s="589"/>
      <c r="C54" s="589"/>
      <c r="D54" s="589"/>
      <c r="E54" s="589"/>
      <c r="F54" s="589"/>
      <c r="G54" s="589"/>
      <c r="H54" s="589"/>
      <c r="I54" s="589"/>
      <c r="J54" s="589"/>
      <c r="K54" s="589"/>
      <c r="L54" s="589"/>
      <c r="M54" s="592"/>
      <c r="N54" s="641"/>
      <c r="O54" s="592"/>
      <c r="P54" s="641"/>
      <c r="Q54" s="589"/>
      <c r="R54" s="589"/>
      <c r="S54" s="589"/>
      <c r="T54" s="589"/>
      <c r="U54" s="589"/>
      <c r="V54" s="589"/>
      <c r="W54" s="589"/>
      <c r="X54" s="589"/>
      <c r="Y54" s="589"/>
      <c r="Z54" s="589"/>
    </row>
    <row r="55" spans="1:26" ht="11.25" customHeight="1">
      <c r="A55" s="589"/>
      <c r="B55" s="589"/>
      <c r="C55" s="589"/>
      <c r="D55" s="589"/>
      <c r="E55" s="589"/>
      <c r="F55" s="589"/>
      <c r="G55" s="589"/>
      <c r="H55" s="589"/>
      <c r="I55" s="589"/>
      <c r="J55" s="589"/>
      <c r="K55" s="589"/>
      <c r="L55" s="589"/>
      <c r="M55" s="592"/>
      <c r="N55" s="641"/>
      <c r="O55" s="592"/>
      <c r="P55" s="641"/>
      <c r="Q55" s="589"/>
      <c r="R55" s="589"/>
      <c r="S55" s="589"/>
      <c r="T55" s="589"/>
      <c r="U55" s="589"/>
      <c r="V55" s="589"/>
      <c r="W55" s="589"/>
      <c r="X55" s="589"/>
      <c r="Y55" s="589"/>
      <c r="Z55" s="589"/>
    </row>
    <row r="56" spans="1:26" ht="11.25" customHeight="1">
      <c r="A56" s="589"/>
      <c r="B56" s="589"/>
      <c r="C56" s="589"/>
      <c r="D56" s="589"/>
      <c r="E56" s="589"/>
      <c r="F56" s="589"/>
      <c r="G56" s="589"/>
      <c r="H56" s="589"/>
      <c r="I56" s="589"/>
      <c r="J56" s="589"/>
      <c r="K56" s="589"/>
      <c r="L56" s="589"/>
      <c r="M56" s="592"/>
      <c r="N56" s="641"/>
      <c r="O56" s="592"/>
      <c r="P56" s="641"/>
      <c r="Q56" s="589"/>
      <c r="R56" s="589"/>
      <c r="S56" s="589"/>
      <c r="T56" s="589"/>
      <c r="U56" s="589"/>
      <c r="V56" s="589"/>
      <c r="W56" s="589"/>
      <c r="X56" s="589"/>
      <c r="Y56" s="589"/>
      <c r="Z56" s="589"/>
    </row>
    <row r="57" spans="1:26" ht="11.25" customHeight="1">
      <c r="A57" s="589"/>
      <c r="B57" s="589"/>
      <c r="C57" s="589"/>
      <c r="D57" s="589"/>
      <c r="E57" s="589"/>
      <c r="F57" s="589"/>
      <c r="G57" s="589"/>
      <c r="H57" s="589"/>
      <c r="I57" s="589"/>
      <c r="J57" s="589"/>
      <c r="K57" s="589"/>
      <c r="L57" s="589"/>
      <c r="M57" s="592"/>
      <c r="N57" s="641"/>
      <c r="O57" s="592"/>
      <c r="P57" s="641"/>
      <c r="Q57" s="589"/>
      <c r="R57" s="589"/>
      <c r="S57" s="589"/>
      <c r="T57" s="589"/>
      <c r="U57" s="589"/>
      <c r="V57" s="589"/>
      <c r="W57" s="589"/>
      <c r="X57" s="589"/>
      <c r="Y57" s="589"/>
      <c r="Z57" s="589"/>
    </row>
    <row r="58" spans="1:26" ht="11.25" customHeight="1">
      <c r="A58" s="589"/>
      <c r="B58" s="589"/>
      <c r="C58" s="589"/>
      <c r="D58" s="589"/>
      <c r="E58" s="589"/>
      <c r="F58" s="589"/>
      <c r="G58" s="589"/>
      <c r="H58" s="589"/>
      <c r="I58" s="589"/>
      <c r="J58" s="589"/>
      <c r="K58" s="589"/>
      <c r="L58" s="589"/>
      <c r="M58" s="592"/>
      <c r="N58" s="641"/>
      <c r="O58" s="592"/>
      <c r="P58" s="641"/>
      <c r="Q58" s="589"/>
      <c r="R58" s="589"/>
      <c r="S58" s="589"/>
      <c r="T58" s="589"/>
      <c r="U58" s="589"/>
      <c r="V58" s="589"/>
      <c r="W58" s="589"/>
      <c r="X58" s="589"/>
      <c r="Y58" s="589"/>
      <c r="Z58" s="589"/>
    </row>
    <row r="59" spans="1:26" ht="11.25" customHeight="1">
      <c r="A59" s="589"/>
      <c r="B59" s="589"/>
      <c r="C59" s="589"/>
      <c r="D59" s="589"/>
      <c r="E59" s="589"/>
      <c r="F59" s="589"/>
      <c r="G59" s="589"/>
      <c r="H59" s="589"/>
      <c r="I59" s="589"/>
      <c r="J59" s="589"/>
      <c r="K59" s="589"/>
      <c r="L59" s="589"/>
      <c r="M59" s="592"/>
      <c r="N59" s="641"/>
      <c r="O59" s="592"/>
      <c r="P59" s="641"/>
      <c r="Q59" s="589"/>
      <c r="R59" s="589"/>
      <c r="S59" s="589"/>
      <c r="T59" s="589"/>
      <c r="U59" s="589"/>
      <c r="V59" s="589"/>
      <c r="W59" s="589"/>
      <c r="X59" s="589"/>
      <c r="Y59" s="589"/>
      <c r="Z59" s="589"/>
    </row>
    <row r="60" spans="1:26" ht="11.25" customHeight="1">
      <c r="A60" s="589"/>
      <c r="B60" s="589"/>
      <c r="C60" s="589"/>
      <c r="D60" s="589"/>
      <c r="E60" s="589"/>
      <c r="F60" s="589"/>
      <c r="G60" s="589"/>
      <c r="H60" s="589"/>
      <c r="I60" s="589"/>
      <c r="J60" s="589"/>
      <c r="K60" s="589"/>
      <c r="L60" s="589"/>
      <c r="M60" s="592"/>
      <c r="N60" s="641"/>
      <c r="O60" s="592"/>
      <c r="P60" s="641"/>
      <c r="Q60" s="589"/>
      <c r="R60" s="589"/>
      <c r="S60" s="589"/>
      <c r="T60" s="589"/>
      <c r="U60" s="589"/>
      <c r="V60" s="589"/>
      <c r="W60" s="589"/>
      <c r="X60" s="589"/>
      <c r="Y60" s="589"/>
      <c r="Z60" s="589"/>
    </row>
    <row r="61" spans="1:26" ht="11.25" customHeight="1">
      <c r="A61" s="589"/>
      <c r="B61" s="589"/>
      <c r="C61" s="589"/>
      <c r="D61" s="589"/>
      <c r="E61" s="589"/>
      <c r="F61" s="589"/>
      <c r="G61" s="589"/>
      <c r="H61" s="589"/>
      <c r="I61" s="589"/>
      <c r="J61" s="589"/>
      <c r="K61" s="589"/>
      <c r="L61" s="589"/>
      <c r="M61" s="592"/>
      <c r="N61" s="641"/>
      <c r="O61" s="592"/>
      <c r="P61" s="641"/>
      <c r="Q61" s="589"/>
      <c r="R61" s="589"/>
      <c r="S61" s="589"/>
      <c r="T61" s="589"/>
      <c r="U61" s="589"/>
      <c r="V61" s="589"/>
      <c r="W61" s="589"/>
      <c r="X61" s="589"/>
      <c r="Y61" s="589"/>
      <c r="Z61" s="589"/>
    </row>
    <row r="62" spans="1:26">
      <c r="A62" s="589"/>
      <c r="B62" s="589"/>
      <c r="C62" s="589"/>
      <c r="D62" s="589"/>
      <c r="E62" s="589"/>
      <c r="F62" s="589"/>
      <c r="G62" s="589"/>
      <c r="H62" s="589"/>
      <c r="I62" s="589"/>
      <c r="J62" s="589"/>
      <c r="K62" s="589"/>
      <c r="L62" s="589"/>
      <c r="M62" s="592"/>
      <c r="N62" s="641"/>
      <c r="O62" s="592"/>
      <c r="P62" s="641"/>
      <c r="Q62" s="589"/>
      <c r="R62" s="589"/>
      <c r="S62" s="589"/>
      <c r="T62" s="589"/>
      <c r="U62" s="589"/>
      <c r="V62" s="589"/>
      <c r="W62" s="589"/>
      <c r="X62" s="589"/>
      <c r="Y62" s="589"/>
      <c r="Z62" s="589"/>
    </row>
    <row r="63" spans="1:26">
      <c r="A63" s="589"/>
      <c r="B63" s="589"/>
      <c r="C63" s="589"/>
      <c r="D63" s="589"/>
      <c r="E63" s="589"/>
      <c r="F63" s="589"/>
      <c r="G63" s="589"/>
      <c r="H63" s="589"/>
      <c r="I63" s="589"/>
      <c r="J63" s="589"/>
      <c r="K63" s="589"/>
      <c r="L63" s="589"/>
      <c r="M63" s="592"/>
      <c r="N63" s="641"/>
      <c r="O63" s="592"/>
      <c r="P63" s="641"/>
      <c r="Q63" s="589"/>
      <c r="R63" s="589"/>
      <c r="S63" s="589"/>
      <c r="T63" s="589"/>
      <c r="U63" s="589"/>
      <c r="V63" s="589"/>
      <c r="W63" s="589"/>
      <c r="X63" s="589"/>
      <c r="Y63" s="589"/>
      <c r="Z63" s="589"/>
    </row>
    <row r="64" spans="1:26">
      <c r="A64" s="589"/>
      <c r="B64" s="589"/>
      <c r="C64" s="589"/>
      <c r="D64" s="589"/>
      <c r="E64" s="589"/>
      <c r="F64" s="589"/>
      <c r="G64" s="589"/>
      <c r="H64" s="589"/>
      <c r="I64" s="589"/>
      <c r="J64" s="589"/>
      <c r="K64" s="589"/>
      <c r="L64" s="589"/>
      <c r="M64" s="592"/>
      <c r="N64" s="641"/>
      <c r="O64" s="592"/>
      <c r="P64" s="641"/>
      <c r="Q64" s="589"/>
      <c r="R64" s="589"/>
      <c r="S64" s="589"/>
      <c r="T64" s="589"/>
      <c r="U64" s="589"/>
      <c r="V64" s="589"/>
      <c r="W64" s="589"/>
      <c r="X64" s="589"/>
      <c r="Y64" s="589"/>
      <c r="Z64" s="589"/>
    </row>
    <row r="65" spans="1:26">
      <c r="A65" s="589"/>
      <c r="B65" s="589"/>
      <c r="C65" s="589"/>
      <c r="D65" s="589"/>
      <c r="E65" s="589"/>
      <c r="F65" s="589"/>
      <c r="G65" s="589"/>
      <c r="H65" s="589"/>
      <c r="I65" s="589"/>
      <c r="J65" s="589"/>
      <c r="K65" s="589"/>
      <c r="L65" s="589"/>
      <c r="M65" s="592"/>
      <c r="N65" s="641"/>
      <c r="O65" s="592"/>
      <c r="P65" s="641"/>
      <c r="Q65" s="589"/>
      <c r="R65" s="589"/>
      <c r="S65" s="589"/>
      <c r="T65" s="589"/>
      <c r="U65" s="589"/>
      <c r="V65" s="589"/>
      <c r="W65" s="589"/>
      <c r="X65" s="589"/>
      <c r="Y65" s="589"/>
      <c r="Z65" s="589"/>
    </row>
    <row r="66" spans="1:26">
      <c r="A66" s="589"/>
      <c r="B66" s="589"/>
      <c r="C66" s="589"/>
      <c r="D66" s="589"/>
      <c r="E66" s="589"/>
      <c r="F66" s="589"/>
      <c r="G66" s="589"/>
      <c r="H66" s="589"/>
      <c r="I66" s="589"/>
      <c r="J66" s="589"/>
      <c r="K66" s="589"/>
      <c r="R66" s="589"/>
      <c r="S66" s="589"/>
      <c r="T66" s="589"/>
      <c r="U66" s="589"/>
      <c r="V66" s="589"/>
      <c r="W66" s="589"/>
      <c r="X66" s="589"/>
      <c r="Y66" s="589"/>
      <c r="Z66" s="589"/>
    </row>
    <row r="67" spans="1:26">
      <c r="A67" s="589"/>
      <c r="B67" s="589"/>
      <c r="C67" s="589"/>
      <c r="D67" s="589"/>
      <c r="E67" s="589"/>
      <c r="F67" s="589"/>
      <c r="G67" s="589"/>
      <c r="H67" s="589"/>
      <c r="I67" s="589"/>
      <c r="J67" s="589"/>
      <c r="K67" s="589"/>
      <c r="R67" s="589"/>
      <c r="S67" s="589"/>
      <c r="T67" s="589"/>
      <c r="U67" s="589"/>
      <c r="V67" s="589"/>
      <c r="W67" s="589"/>
      <c r="X67" s="589"/>
      <c r="Y67" s="589"/>
      <c r="Z67" s="589"/>
    </row>
    <row r="68" spans="1:26">
      <c r="A68" s="589"/>
      <c r="B68" s="589"/>
      <c r="C68" s="589"/>
      <c r="D68" s="589"/>
      <c r="E68" s="589"/>
      <c r="F68" s="589"/>
      <c r="G68" s="589"/>
      <c r="H68" s="589"/>
      <c r="I68" s="589"/>
      <c r="J68" s="589"/>
      <c r="K68" s="589"/>
      <c r="R68" s="589"/>
      <c r="S68" s="589"/>
      <c r="T68" s="589"/>
      <c r="U68" s="589"/>
      <c r="V68" s="589"/>
      <c r="W68" s="589"/>
      <c r="X68" s="589"/>
      <c r="Y68" s="589"/>
      <c r="Z68" s="589"/>
    </row>
  </sheetData>
  <mergeCells count="12">
    <mergeCell ref="L21:M21"/>
    <mergeCell ref="L6:M6"/>
    <mergeCell ref="E3:H3"/>
    <mergeCell ref="E35:J35"/>
    <mergeCell ref="G13:H13"/>
    <mergeCell ref="E28:J28"/>
    <mergeCell ref="I13:J13"/>
    <mergeCell ref="F31:G31"/>
    <mergeCell ref="F32:G32"/>
    <mergeCell ref="F30:G30"/>
    <mergeCell ref="F33:G33"/>
    <mergeCell ref="F34:G34"/>
  </mergeCells>
  <conditionalFormatting sqref="E30:J30">
    <cfRule type="expression" dxfId="91" priority="18">
      <formula>AND($E$33=0,$E$32=0,$E$31=0)</formula>
    </cfRule>
  </conditionalFormatting>
  <conditionalFormatting sqref="E31:J31">
    <cfRule type="expression" dxfId="90" priority="17">
      <formula>AND($E$33=0,$E$32=0,$E$31&lt;&gt;0)</formula>
    </cfRule>
  </conditionalFormatting>
  <conditionalFormatting sqref="E32:J32">
    <cfRule type="expression" dxfId="89" priority="16">
      <formula>AND($E$33=0,$E$32&lt;&gt;0)</formula>
    </cfRule>
  </conditionalFormatting>
  <conditionalFormatting sqref="E33:J33">
    <cfRule type="expression" dxfId="88" priority="15">
      <formula>AND($E$33&lt;&gt;0,$E$34=0)</formula>
    </cfRule>
  </conditionalFormatting>
  <conditionalFormatting sqref="E30:J34">
    <cfRule type="expression" dxfId="87" priority="10">
      <formula>$E30=0</formula>
    </cfRule>
  </conditionalFormatting>
  <conditionalFormatting sqref="I14">
    <cfRule type="expression" dxfId="86" priority="8">
      <formula>OR(AND(SwitchRentRollType="Detail",NOT(RenoSwitch="Yes")),AND(SwitchRentRollType="Summary",NOT(SummaryReno="Yes")))</formula>
    </cfRule>
  </conditionalFormatting>
  <conditionalFormatting sqref="I15">
    <cfRule type="expression" dxfId="85" priority="7">
      <formula>OR(AND(SwitchRentRollType="Detail",NOT(RenoSwitch="Yes")),AND(SwitchRentRollType="Summary",NOT(SummaryReno="Yes")))</formula>
    </cfRule>
  </conditionalFormatting>
  <conditionalFormatting sqref="I16:I18">
    <cfRule type="expression" dxfId="84" priority="6">
      <formula>OR(AND(SwitchRentRollType="Detail",NOT(RenoSwitch="Yes")),AND(SwitchRentRollType="Summary",NOT(SummaryReno="Yes")))</formula>
    </cfRule>
  </conditionalFormatting>
  <conditionalFormatting sqref="H36:H39">
    <cfRule type="expression" dxfId="83" priority="5">
      <formula>SwitchAcqMethod="All Cash"</formula>
    </cfRule>
  </conditionalFormatting>
  <conditionalFormatting sqref="E14:J18">
    <cfRule type="expression" dxfId="82" priority="4">
      <formula>Priced="Unpriced"</formula>
    </cfRule>
  </conditionalFormatting>
  <conditionalFormatting sqref="U3:V3">
    <cfRule type="expression" dxfId="81" priority="3">
      <formula>Priced="Unpriced"</formula>
    </cfRule>
  </conditionalFormatting>
  <conditionalFormatting sqref="E21:J27">
    <cfRule type="expression" dxfId="80" priority="2">
      <formula>SwitchAcqMethod="All Cash"</formula>
    </cfRule>
  </conditionalFormatting>
  <conditionalFormatting sqref="E34:J34">
    <cfRule type="expression" dxfId="79" priority="1">
      <formula>AND($E$35=0,$E$34&lt;&gt;0)</formula>
    </cfRule>
  </conditionalFormatting>
  <dataValidations count="1">
    <dataValidation type="list" allowBlank="1" showInputMessage="1" showErrorMessage="1" sqref="V3" xr:uid="{00000000-0002-0000-1300-000000000000}">
      <formula1>"GRM,GIM"</formula1>
    </dataValidation>
  </dataValidations>
  <printOptions horizontalCentered="1"/>
  <pageMargins left="0" right="0" top="1.75" bottom="0.5" header="0" footer="0"/>
  <pageSetup fitToHeight="0" orientation="landscape" cellComments="atEnd" r:id="rId1"/>
  <customProperties>
    <customPr name="GUID" r:id="rId2"/>
  </customProperties>
  <ignoredErrors>
    <ignoredError sqref="N8 N16" formula="1"/>
  </ignoredErrors>
  <drawing r:id="rId3"/>
  <extLst>
    <ext xmlns:x14="http://schemas.microsoft.com/office/spreadsheetml/2009/9/main" uri="{78C0D931-6437-407d-A8EE-F0AAD7539E65}">
      <x14:conditionalFormattings>
        <x14:conditionalFormatting xmlns:xm="http://schemas.microsoft.com/office/excel/2006/main">
          <x14:cfRule type="expression" priority="31" id="{5C266A22-E75F-4747-A1D8-885D4AE59682}">
            <xm:f>Input!$B$30&lt;&gt;"Yes"</xm:f>
            <x14:dxf>
              <font>
                <color theme="0"/>
              </font>
              <fill>
                <patternFill>
                  <bgColor theme="0"/>
                </patternFill>
              </fill>
              <border>
                <left/>
                <right/>
                <top/>
                <bottom/>
                <vertical/>
                <horizontal/>
              </border>
            </x14:dxf>
          </x14:cfRule>
          <xm:sqref>E35:J36 I36:J40 E37:H39</xm:sqref>
        </x14:conditionalFormatting>
        <x14:conditionalFormatting xmlns:xm="http://schemas.microsoft.com/office/excel/2006/main">
          <x14:cfRule type="expression" priority="19" id="{5B63B687-4C3F-4A76-B879-B6C1EDADBFF8}">
            <xm:f>Debt!$K$7="Hide Debt"</xm:f>
            <x14:dxf>
              <font>
                <color theme="0"/>
              </font>
              <fill>
                <patternFill>
                  <bgColor theme="0"/>
                </patternFill>
              </fill>
              <border>
                <left/>
                <right/>
                <top/>
                <bottom/>
                <vertical/>
                <horizontal/>
              </border>
            </x14:dxf>
          </x14:cfRule>
          <xm:sqref>E22:J27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pageSetUpPr fitToPage="1"/>
  </sheetPr>
  <dimension ref="A1:J22"/>
  <sheetViews>
    <sheetView showGridLines="0" topLeftCell="B1" zoomScaleNormal="100" workbookViewId="0">
      <selection activeCell="K14" sqref="K14"/>
    </sheetView>
  </sheetViews>
  <sheetFormatPr defaultColWidth="8.85546875" defaultRowHeight="12.75"/>
  <cols>
    <col min="1" max="1" width="2.42578125" customWidth="1"/>
    <col min="2" max="2" width="42.140625" customWidth="1"/>
    <col min="3" max="3" width="50.42578125" customWidth="1"/>
    <col min="4" max="4" width="43" customWidth="1"/>
  </cols>
  <sheetData>
    <row r="1" spans="1:10" s="216" customFormat="1" ht="18" customHeight="1">
      <c r="B1" s="212" t="s">
        <v>1255</v>
      </c>
      <c r="C1" s="213"/>
      <c r="D1" s="213"/>
      <c r="E1" s="213"/>
      <c r="G1" s="213"/>
      <c r="H1" s="213"/>
      <c r="I1" s="214"/>
      <c r="J1" s="224"/>
    </row>
    <row r="2" spans="1:10" s="219" customFormat="1" ht="3" customHeight="1">
      <c r="B2" s="217"/>
      <c r="C2" s="217"/>
      <c r="D2" s="217"/>
      <c r="E2" s="217"/>
      <c r="G2" s="217"/>
      <c r="H2" s="217"/>
      <c r="I2" s="217"/>
      <c r="J2" s="217"/>
    </row>
    <row r="3" spans="1:10" ht="7.5" customHeight="1">
      <c r="A3" s="372"/>
      <c r="B3" s="372"/>
      <c r="C3" s="372"/>
      <c r="D3" s="372"/>
    </row>
    <row r="4" spans="1:10" ht="30.75" customHeight="1">
      <c r="A4" s="372"/>
      <c r="B4" s="1599" t="s">
        <v>1256</v>
      </c>
      <c r="C4" s="1599"/>
      <c r="D4" s="1599"/>
    </row>
    <row r="5" spans="1:10" ht="9" customHeight="1">
      <c r="A5" s="372"/>
      <c r="B5" s="373"/>
      <c r="C5" s="373"/>
      <c r="D5" s="373"/>
    </row>
    <row r="6" spans="1:10" ht="10.5" customHeight="1">
      <c r="A6" s="372"/>
      <c r="B6" s="373"/>
      <c r="C6" s="373"/>
      <c r="D6" s="373"/>
    </row>
    <row r="7" spans="1:10" ht="15">
      <c r="A7" s="372"/>
      <c r="B7" s="373"/>
      <c r="C7" s="373"/>
      <c r="D7" s="373"/>
    </row>
    <row r="8" spans="1:10" ht="15">
      <c r="A8" s="372"/>
      <c r="B8" s="373"/>
      <c r="C8" s="373"/>
      <c r="D8" s="373"/>
    </row>
    <row r="9" spans="1:10" ht="15">
      <c r="A9" s="372"/>
      <c r="B9" s="373"/>
      <c r="C9" s="373"/>
      <c r="D9" s="373"/>
    </row>
    <row r="10" spans="1:10" ht="15">
      <c r="A10" s="372"/>
      <c r="B10" s="373"/>
      <c r="C10" s="373"/>
      <c r="D10" s="373"/>
    </row>
    <row r="11" spans="1:10" ht="15">
      <c r="A11" s="372"/>
      <c r="B11" s="373"/>
      <c r="C11" s="373"/>
      <c r="D11" s="373"/>
    </row>
    <row r="12" spans="1:10" ht="15">
      <c r="A12" s="372"/>
      <c r="B12" s="373"/>
      <c r="C12" s="373"/>
      <c r="D12" s="373"/>
    </row>
    <row r="13" spans="1:10" ht="15">
      <c r="A13" s="372"/>
      <c r="B13" s="373"/>
      <c r="C13" s="373"/>
      <c r="D13" s="373"/>
    </row>
    <row r="14" spans="1:10" ht="99" customHeight="1">
      <c r="A14" s="372"/>
      <c r="B14" s="1599" t="s">
        <v>1257</v>
      </c>
      <c r="C14" s="1599"/>
      <c r="D14" s="1599"/>
    </row>
    <row r="15" spans="1:10" ht="8.25" customHeight="1">
      <c r="A15" s="372"/>
      <c r="B15" s="373"/>
      <c r="C15" s="373"/>
      <c r="D15" s="373"/>
    </row>
    <row r="16" spans="1:10" ht="33" customHeight="1">
      <c r="A16" s="372"/>
      <c r="B16" s="1599" t="s">
        <v>1258</v>
      </c>
      <c r="C16" s="1599"/>
      <c r="D16" s="1599"/>
      <c r="G16" s="371"/>
    </row>
    <row r="17" spans="1:4" ht="8.25" customHeight="1" thickBot="1">
      <c r="A17" s="372"/>
      <c r="B17" s="374"/>
      <c r="C17" s="374"/>
      <c r="D17" s="374"/>
    </row>
    <row r="18" spans="1:4" ht="8.25" customHeight="1" thickTop="1">
      <c r="A18" s="372"/>
      <c r="B18" s="372"/>
      <c r="C18" s="372"/>
      <c r="D18" s="372"/>
    </row>
    <row r="19" spans="1:4" ht="15.75" customHeight="1">
      <c r="A19" s="372"/>
      <c r="B19" s="1600" t="s">
        <v>1259</v>
      </c>
      <c r="C19" s="1600"/>
      <c r="D19" s="1600"/>
    </row>
    <row r="20" spans="1:4" ht="14.25" customHeight="1">
      <c r="A20" s="372"/>
      <c r="B20" s="375" t="s">
        <v>1260</v>
      </c>
      <c r="C20" s="372"/>
      <c r="D20" s="1089" t="s">
        <v>1261</v>
      </c>
    </row>
    <row r="21" spans="1:4" ht="15">
      <c r="A21" s="372"/>
      <c r="B21" s="375" t="s">
        <v>1262</v>
      </c>
      <c r="C21" s="372"/>
      <c r="D21" s="372"/>
    </row>
    <row r="22" spans="1:4">
      <c r="A22" s="372"/>
      <c r="B22" s="372"/>
      <c r="C22" s="372"/>
      <c r="D22" s="372"/>
    </row>
  </sheetData>
  <mergeCells count="4">
    <mergeCell ref="B4:D4"/>
    <mergeCell ref="B14:D14"/>
    <mergeCell ref="B16:D16"/>
    <mergeCell ref="B19:D19"/>
  </mergeCells>
  <hyperlinks>
    <hyperlink ref="D20" r:id="rId1" xr:uid="{00000000-0004-0000-0800-000000000000}"/>
  </hyperlinks>
  <printOptions horizontalCentered="1" verticalCentered="1"/>
  <pageMargins left="0.5" right="0.5" top="1.75" bottom="0.5" header="0" footer="0"/>
  <pageSetup scale="88" fitToHeight="0" orientation="landscape" cellComments="atEnd" r:id="rId2"/>
  <colBreaks count="1" manualBreakCount="1">
    <brk id="5" max="1048575" man="1"/>
  </colBreaks>
  <customProperties>
    <customPr name="GUID" r:id="rId3"/>
  </customProperties>
  <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pageSetUpPr autoPageBreaks="0" fitToPage="1"/>
  </sheetPr>
  <dimension ref="A1:AB76"/>
  <sheetViews>
    <sheetView zoomScaleNormal="100" zoomScaleSheetLayoutView="85" workbookViewId="0">
      <selection activeCell="C9" sqref="C9"/>
    </sheetView>
  </sheetViews>
  <sheetFormatPr defaultColWidth="11.42578125" defaultRowHeight="15"/>
  <cols>
    <col min="1" max="1" width="37.5703125" style="162" customWidth="1"/>
    <col min="2" max="2" width="32.42578125" style="166" bestFit="1" customWidth="1"/>
    <col min="3" max="3" width="6.140625" style="162" customWidth="1"/>
    <col min="4" max="4" width="14.42578125" style="162" bestFit="1" customWidth="1"/>
    <col min="5" max="5" width="11.42578125" customWidth="1"/>
    <col min="6" max="7" width="11.42578125" style="162" customWidth="1"/>
    <col min="8" max="12" width="11.42578125" style="182" customWidth="1"/>
    <col min="13" max="15" width="11.42578125" style="182"/>
    <col min="16" max="16" width="11.42578125" style="162" customWidth="1"/>
    <col min="17" max="17" width="11.42578125" style="162" hidden="1" customWidth="1"/>
    <col min="18" max="18" width="9.42578125" style="162" hidden="1" customWidth="1"/>
    <col min="19" max="19" width="11.42578125" style="162" hidden="1" customWidth="1"/>
    <col min="20" max="20" width="11.85546875" style="162" hidden="1" customWidth="1"/>
    <col min="21" max="21" width="10" style="162" hidden="1" customWidth="1"/>
    <col min="22" max="22" width="7.42578125" style="162" hidden="1" customWidth="1"/>
    <col min="23" max="23" width="8.42578125" style="162" hidden="1" customWidth="1"/>
    <col min="24" max="24" width="11.42578125" style="162" hidden="1" customWidth="1"/>
    <col min="25" max="25" width="14" style="162" hidden="1" customWidth="1"/>
    <col min="26" max="28" width="11.42578125" style="162" hidden="1" customWidth="1"/>
    <col min="29" max="16384" width="11.42578125" style="162"/>
  </cols>
  <sheetData>
    <row r="1" spans="1:28" s="216" customFormat="1" ht="18" customHeight="1">
      <c r="A1" s="212" t="str">
        <f>Introduction!B1</f>
        <v>Marcus &amp; Millichap - National Multi Housing Group - Financial Model Version 1.1.0</v>
      </c>
      <c r="B1" s="213"/>
      <c r="C1" s="213"/>
      <c r="D1" s="213"/>
      <c r="F1" s="213"/>
      <c r="G1" s="213"/>
      <c r="I1" s="511" t="str">
        <f>IF(B22=0,"",B22)</f>
        <v/>
      </c>
    </row>
    <row r="2" spans="1:28" s="219" customFormat="1" ht="3" customHeight="1">
      <c r="A2" s="217"/>
      <c r="B2" s="217"/>
      <c r="C2" s="217"/>
      <c r="D2" s="217"/>
      <c r="F2" s="217"/>
      <c r="G2" s="217"/>
    </row>
    <row r="3" spans="1:28" s="222" customFormat="1" ht="3" customHeight="1">
      <c r="A3" s="220"/>
      <c r="B3" s="220"/>
      <c r="C3" s="220"/>
      <c r="D3" s="220"/>
      <c r="F3" s="220"/>
      <c r="G3" s="220"/>
    </row>
    <row r="4" spans="1:28" ht="5.25" customHeight="1">
      <c r="B4" s="163"/>
      <c r="I4" s="234"/>
    </row>
    <row r="5" spans="1:28" ht="7.5" customHeight="1">
      <c r="A5" s="1036"/>
      <c r="B5" s="164"/>
      <c r="G5" s="367"/>
      <c r="I5" s="512"/>
    </row>
    <row r="6" spans="1:28" ht="6" customHeight="1">
      <c r="B6" s="165"/>
      <c r="G6" s="568"/>
    </row>
    <row r="7" spans="1:28">
      <c r="A7" s="1053" t="s">
        <v>1263</v>
      </c>
      <c r="B7" s="1054"/>
      <c r="E7" s="338"/>
      <c r="G7"/>
    </row>
    <row r="8" spans="1:28" ht="15" customHeight="1">
      <c r="A8" s="166" t="s">
        <v>1264</v>
      </c>
      <c r="B8" s="1016"/>
      <c r="E8" s="255"/>
      <c r="F8" s="269" t="s">
        <v>1265</v>
      </c>
      <c r="G8"/>
      <c r="R8" s="166"/>
    </row>
    <row r="9" spans="1:28">
      <c r="A9" s="166" t="s">
        <v>0</v>
      </c>
      <c r="B9" s="992">
        <v>9350000</v>
      </c>
      <c r="C9" s="167">
        <f>B9</f>
        <v>9350000</v>
      </c>
      <c r="R9" s="168"/>
      <c r="U9" s="168"/>
      <c r="V9" s="168"/>
      <c r="W9" s="168"/>
    </row>
    <row r="10" spans="1:28">
      <c r="A10" s="166" t="s">
        <v>1266</v>
      </c>
      <c r="B10" s="992" t="s">
        <v>153</v>
      </c>
      <c r="C10" s="252"/>
      <c r="R10" s="168"/>
      <c r="S10" s="169" t="s">
        <v>1267</v>
      </c>
      <c r="U10" s="168"/>
      <c r="V10" s="168"/>
      <c r="W10" s="168"/>
    </row>
    <row r="11" spans="1:28" ht="15" customHeight="1">
      <c r="A11" s="162" t="s">
        <v>1268</v>
      </c>
      <c r="B11" s="270">
        <v>46054</v>
      </c>
      <c r="G11" s="367"/>
      <c r="R11" s="168" t="s">
        <v>1269</v>
      </c>
      <c r="S11" s="169" t="s">
        <v>1270</v>
      </c>
      <c r="T11" s="169" t="s">
        <v>1271</v>
      </c>
      <c r="U11" s="169" t="s">
        <v>1272</v>
      </c>
      <c r="V11" s="170" t="s">
        <v>0</v>
      </c>
      <c r="W11" s="169" t="s">
        <v>0</v>
      </c>
      <c r="X11" s="162" t="s">
        <v>1269</v>
      </c>
    </row>
    <row r="12" spans="1:28">
      <c r="A12" s="166" t="s">
        <v>1273</v>
      </c>
      <c r="B12" s="1016"/>
      <c r="R12" s="171" t="s">
        <v>1274</v>
      </c>
      <c r="S12" s="172" t="s">
        <v>1275</v>
      </c>
      <c r="T12" s="172" t="s">
        <v>1276</v>
      </c>
      <c r="U12" s="172" t="s">
        <v>1277</v>
      </c>
      <c r="V12" s="172" t="s">
        <v>1278</v>
      </c>
      <c r="W12" s="172" t="s">
        <v>1279</v>
      </c>
      <c r="X12" s="162" t="s">
        <v>199</v>
      </c>
    </row>
    <row r="13" spans="1:28">
      <c r="A13" s="166" t="s">
        <v>1280</v>
      </c>
      <c r="B13" s="1017">
        <v>1.1200000000000001</v>
      </c>
      <c r="C13" s="331"/>
      <c r="R13" s="1104">
        <f>'Pricing Detail'!$H$15</f>
        <v>6.1097886631016042E-2</v>
      </c>
      <c r="S13" s="1104">
        <f>'Pricing Detail'!$G$17</f>
        <v>2.0371538036526068E-2</v>
      </c>
      <c r="T13" s="1104">
        <f>'Cash Flow'!$P$44</f>
        <v>-4.8414069588595399E-2</v>
      </c>
      <c r="U13" s="1104">
        <f>'Cash Flow'!$P$45</f>
        <v>0</v>
      </c>
      <c r="V13" s="1105">
        <f>'Pricing Detail'!$G$8</f>
        <v>412.36658728058569</v>
      </c>
      <c r="W13" s="1106">
        <f>'Pricing Detail'!$G$7</f>
        <v>346296.29629629629</v>
      </c>
      <c r="X13" s="1107">
        <f>'Pricing Detail'!H16</f>
        <v>10.645807715079474</v>
      </c>
      <c r="Y13" s="1105"/>
      <c r="Z13" s="1104"/>
      <c r="AA13" s="1104"/>
      <c r="AB13" s="1104"/>
    </row>
    <row r="14" spans="1:28">
      <c r="A14" s="1053" t="s">
        <v>1281</v>
      </c>
      <c r="B14" s="1054"/>
      <c r="S14" s="173"/>
    </row>
    <row r="15" spans="1:28">
      <c r="A15" s="166" t="s">
        <v>1282</v>
      </c>
      <c r="B15" s="270">
        <v>46054</v>
      </c>
    </row>
    <row r="16" spans="1:28">
      <c r="A16" s="166" t="s">
        <v>1283</v>
      </c>
      <c r="B16" s="1018" t="s">
        <v>156</v>
      </c>
    </row>
    <row r="17" spans="1:28">
      <c r="A17" s="166" t="s">
        <v>1284</v>
      </c>
      <c r="B17" s="1018" t="s">
        <v>127</v>
      </c>
    </row>
    <row r="18" spans="1:28">
      <c r="A18" s="166" t="s">
        <v>1285</v>
      </c>
      <c r="B18" s="1019">
        <v>27</v>
      </c>
      <c r="R18" s="168"/>
      <c r="S18" s="169"/>
      <c r="U18" s="168"/>
      <c r="V18" s="168"/>
      <c r="W18" s="168"/>
    </row>
    <row r="19" spans="1:28">
      <c r="A19" s="166" t="s">
        <v>1286</v>
      </c>
      <c r="B19" s="1019">
        <v>27</v>
      </c>
      <c r="R19" s="168"/>
      <c r="S19" s="169"/>
      <c r="T19" s="169"/>
      <c r="U19" s="169"/>
      <c r="V19" s="170"/>
      <c r="W19" s="169"/>
    </row>
    <row r="20" spans="1:28">
      <c r="A20" s="166" t="s">
        <v>1287</v>
      </c>
      <c r="B20" s="1020"/>
      <c r="R20" s="171"/>
      <c r="S20" s="172"/>
      <c r="T20" s="172"/>
      <c r="U20" s="172"/>
      <c r="V20" s="172"/>
      <c r="W20" s="172"/>
    </row>
    <row r="21" spans="1:28">
      <c r="A21" s="1053" t="s">
        <v>1288</v>
      </c>
      <c r="B21" s="1054"/>
      <c r="R21" s="168"/>
      <c r="S21" s="169" t="s">
        <v>1267</v>
      </c>
      <c r="U21" s="168"/>
      <c r="V21" s="168"/>
      <c r="W21" s="168"/>
    </row>
    <row r="22" spans="1:28" hidden="1">
      <c r="A22" s="166" t="s">
        <v>1289</v>
      </c>
      <c r="B22" s="518"/>
      <c r="Q22" s="170"/>
      <c r="R22" s="168" t="s">
        <v>1269</v>
      </c>
      <c r="S22" s="169" t="s">
        <v>1270</v>
      </c>
      <c r="T22" s="169" t="s">
        <v>1271</v>
      </c>
      <c r="U22" s="169" t="s">
        <v>1272</v>
      </c>
      <c r="V22" s="170" t="s">
        <v>0</v>
      </c>
      <c r="W22" s="169" t="s">
        <v>0</v>
      </c>
      <c r="X22" s="162" t="s">
        <v>1269</v>
      </c>
    </row>
    <row r="23" spans="1:28" hidden="1">
      <c r="A23" s="166" t="s">
        <v>1290</v>
      </c>
      <c r="B23" s="518"/>
      <c r="Q23" s="170" t="s">
        <v>0</v>
      </c>
      <c r="R23" s="171" t="s">
        <v>1274</v>
      </c>
      <c r="S23" s="172" t="s">
        <v>1275</v>
      </c>
      <c r="T23" s="172" t="s">
        <v>1276</v>
      </c>
      <c r="U23" s="172" t="s">
        <v>1277</v>
      </c>
      <c r="V23" s="172" t="s">
        <v>1278</v>
      </c>
      <c r="W23" s="172" t="s">
        <v>1279</v>
      </c>
      <c r="X23" s="162" t="s">
        <v>199</v>
      </c>
    </row>
    <row r="24" spans="1:28" hidden="1">
      <c r="A24" s="166" t="s">
        <v>1291</v>
      </c>
      <c r="B24" s="518"/>
      <c r="I24" s="234"/>
      <c r="Q24" s="1106">
        <f>C9</f>
        <v>9350000</v>
      </c>
      <c r="R24" s="1104">
        <f>'Pricing Detail'!$H$15</f>
        <v>6.1097886631016042E-2</v>
      </c>
      <c r="S24" s="1104">
        <f>'Pricing Detail'!$G$17</f>
        <v>2.0371538036526068E-2</v>
      </c>
      <c r="T24" s="1104">
        <f>'Cash Flow'!$P$44</f>
        <v>-4.8414069588595399E-2</v>
      </c>
      <c r="U24" s="1104">
        <f>'Cash Flow'!$P$45</f>
        <v>0</v>
      </c>
      <c r="V24" s="1105">
        <f>'Pricing Detail'!$G$8</f>
        <v>412.36658728058569</v>
      </c>
      <c r="W24" s="1106">
        <f>'Pricing Detail'!$G$7</f>
        <v>346296.29629629629</v>
      </c>
      <c r="X24" s="1107">
        <f>'Pricing Detail'!H16</f>
        <v>10.645807715079474</v>
      </c>
      <c r="Y24" s="1105"/>
      <c r="Z24" s="1104"/>
      <c r="AA24" s="1104"/>
      <c r="AB24" s="1104"/>
    </row>
    <row r="25" spans="1:28" hidden="1">
      <c r="A25" s="166" t="s">
        <v>1292</v>
      </c>
      <c r="B25" s="518"/>
      <c r="I25" s="512"/>
      <c r="Q25" s="170">
        <f>Q26+$B$34</f>
        <v>9850000</v>
      </c>
      <c r="R25" s="174">
        <f t="dataTable" ref="R25:X35" dt2D="0" dtr="0" r1="C9"/>
        <v>5.7422867005076143E-2</v>
      </c>
      <c r="S25" s="174">
        <v>1.371806926701551E-2</v>
      </c>
      <c r="T25" s="174">
        <v>-5.7635274844620832E-2</v>
      </c>
      <c r="U25" s="174">
        <v>0</v>
      </c>
      <c r="V25" s="175">
        <v>434.41827643997533</v>
      </c>
      <c r="W25" s="170">
        <v>364814.81481481483</v>
      </c>
      <c r="X25" s="575">
        <v>11.215102245297627</v>
      </c>
    </row>
    <row r="26" spans="1:28" hidden="1">
      <c r="A26" s="166" t="s">
        <v>1293</v>
      </c>
      <c r="B26" s="518"/>
      <c r="Q26" s="170">
        <f>Q27+$B$34</f>
        <v>9750000</v>
      </c>
      <c r="R26" s="174">
        <v>5.8127716923076923E-2</v>
      </c>
      <c r="S26" s="174">
        <v>1.4994170456654935E-2</v>
      </c>
      <c r="T26" s="174">
        <v>-5.58387487603208E-2</v>
      </c>
      <c r="U26" s="174">
        <v>0</v>
      </c>
      <c r="V26" s="175">
        <v>430.00793860809739</v>
      </c>
      <c r="W26" s="170">
        <v>361111.11111111112</v>
      </c>
      <c r="X26" s="575">
        <v>11.101243339253996</v>
      </c>
    </row>
    <row r="27" spans="1:28">
      <c r="A27" s="166" t="s">
        <v>1068</v>
      </c>
      <c r="B27" s="1021">
        <v>1953</v>
      </c>
      <c r="Q27" s="170">
        <f>Q28+$B$34</f>
        <v>9650000</v>
      </c>
      <c r="R27" s="174">
        <v>5.8847175129533677E-2</v>
      </c>
      <c r="S27" s="174">
        <v>1.6296719339343953E-2</v>
      </c>
      <c r="T27" s="174">
        <v>-5.4018985007766362E-2</v>
      </c>
      <c r="U27" s="174">
        <v>0</v>
      </c>
      <c r="V27" s="175">
        <v>425.59760077621945</v>
      </c>
      <c r="W27" s="170">
        <v>357407.40740740742</v>
      </c>
      <c r="X27" s="575">
        <v>10.987384433210366</v>
      </c>
      <c r="Y27" s="555"/>
      <c r="Z27" s="556"/>
      <c r="AA27" s="556"/>
      <c r="AB27" s="556"/>
    </row>
    <row r="28" spans="1:28">
      <c r="A28" s="166" t="s">
        <v>1294</v>
      </c>
      <c r="B28" s="1021" t="s">
        <v>87</v>
      </c>
      <c r="Q28" s="170">
        <f>Q29+$B$34</f>
        <v>9550000</v>
      </c>
      <c r="R28" s="174">
        <v>5.958170052356021E-2</v>
      </c>
      <c r="S28" s="174">
        <v>1.7626546732665171E-2</v>
      </c>
      <c r="T28" s="174">
        <v>-5.2175375347369601E-2</v>
      </c>
      <c r="U28" s="174">
        <v>0</v>
      </c>
      <c r="V28" s="175">
        <v>421.18726294434151</v>
      </c>
      <c r="W28" s="170">
        <v>353703.70370370371</v>
      </c>
      <c r="X28" s="575">
        <v>10.873525527166734</v>
      </c>
      <c r="Y28" s="555"/>
      <c r="Z28" s="556"/>
      <c r="AA28" s="556"/>
      <c r="AB28" s="556"/>
    </row>
    <row r="29" spans="1:28">
      <c r="A29" s="1053" t="s">
        <v>1295</v>
      </c>
      <c r="B29" s="1054"/>
      <c r="D29" s="176"/>
      <c r="Q29" s="170">
        <f>Q30+$B$34</f>
        <v>9450000</v>
      </c>
      <c r="R29" s="174">
        <v>6.0331771428571428E-2</v>
      </c>
      <c r="S29" s="174">
        <v>1.8984518621083121E-2</v>
      </c>
      <c r="T29" s="174">
        <v>-5.0307288615782819E-2</v>
      </c>
      <c r="U29" s="174">
        <v>0</v>
      </c>
      <c r="V29" s="175">
        <v>416.77692511246363</v>
      </c>
      <c r="W29" s="170">
        <v>350000</v>
      </c>
      <c r="X29" s="575">
        <v>10.759666621123104</v>
      </c>
      <c r="Y29" s="555"/>
      <c r="Z29" s="556"/>
      <c r="AA29" s="556"/>
      <c r="AB29" s="556"/>
    </row>
    <row r="30" spans="1:28" ht="30">
      <c r="A30" s="177" t="s">
        <v>1296</v>
      </c>
      <c r="B30" s="1021" t="s">
        <v>127</v>
      </c>
      <c r="Q30" s="170">
        <f>B9</f>
        <v>9350000</v>
      </c>
      <c r="R30" s="178">
        <v>6.1097886631016042E-2</v>
      </c>
      <c r="S30" s="178">
        <v>2.0371538036526068E-2</v>
      </c>
      <c r="T30" s="178">
        <v>-4.8414069588595399E-2</v>
      </c>
      <c r="U30" s="178">
        <v>0</v>
      </c>
      <c r="V30" s="175">
        <v>412.36658728058569</v>
      </c>
      <c r="W30" s="170">
        <v>346296.29629629629</v>
      </c>
      <c r="X30" s="575">
        <v>10.645807715079474</v>
      </c>
      <c r="Y30" s="555"/>
      <c r="Z30" s="556"/>
      <c r="AA30" s="556"/>
      <c r="AB30" s="556"/>
    </row>
    <row r="31" spans="1:28" hidden="1">
      <c r="A31" s="321" t="s">
        <v>1297</v>
      </c>
      <c r="B31" s="1020"/>
      <c r="C31" s="252" t="str">
        <f>IF(B10="Unpriced","As an unpriced listing, this option will create only a 10yr Cash Flow.","")</f>
        <v/>
      </c>
      <c r="D31" s="176"/>
      <c r="I31" s="234"/>
      <c r="Q31" s="170">
        <f>Q30-$B$34</f>
        <v>9250000</v>
      </c>
      <c r="R31" s="174">
        <v>6.1880566486486488E-2</v>
      </c>
      <c r="S31" s="174">
        <v>2.1788547060951582E-2</v>
      </c>
      <c r="T31" s="174">
        <v>-4.6495037772954606E-2</v>
      </c>
      <c r="U31" s="174">
        <v>0</v>
      </c>
      <c r="V31" s="175">
        <v>407.95624944870775</v>
      </c>
      <c r="W31" s="170">
        <v>342592.59259259258</v>
      </c>
      <c r="X31" s="575">
        <v>10.531948809035843</v>
      </c>
      <c r="Y31" s="555"/>
      <c r="Z31" s="556"/>
      <c r="AA31" s="556"/>
      <c r="AB31" s="556"/>
    </row>
    <row r="32" spans="1:28" hidden="1">
      <c r="A32" s="179" t="s">
        <v>1298</v>
      </c>
      <c r="B32" s="1020"/>
      <c r="C32" s="252" t="str">
        <f>IF(B10="Unpriced","Returns cannot be calculated without a price.","")</f>
        <v/>
      </c>
      <c r="I32" s="512"/>
      <c r="Q32" s="170">
        <f>Q31-$B$34</f>
        <v>9150000</v>
      </c>
      <c r="R32" s="174">
        <v>6.2680354098360661E-2</v>
      </c>
      <c r="S32" s="174">
        <v>2.3236528960227897E-2</v>
      </c>
      <c r="T32" s="174">
        <v>-4.4549486124934146E-2</v>
      </c>
      <c r="U32" s="174">
        <v>0</v>
      </c>
      <c r="V32" s="175">
        <v>403.54591161682987</v>
      </c>
      <c r="W32" s="170">
        <v>338888.88888888888</v>
      </c>
      <c r="X32" s="575">
        <v>10.418089902992213</v>
      </c>
      <c r="Y32" s="555"/>
      <c r="Z32" s="556"/>
      <c r="AA32" s="556"/>
      <c r="AB32" s="556"/>
    </row>
    <row r="33" spans="1:28">
      <c r="A33" s="1053" t="s">
        <v>1299</v>
      </c>
      <c r="B33" s="1054"/>
      <c r="Q33" s="170">
        <f>Q32-$B$34</f>
        <v>9050000</v>
      </c>
      <c r="R33" s="174">
        <v>6.3497816574585628E-2</v>
      </c>
      <c r="S33" s="174">
        <v>2.4716510459488233E-2</v>
      </c>
      <c r="T33" s="174">
        <v>-4.25766796860374E-2</v>
      </c>
      <c r="U33" s="174">
        <v>0</v>
      </c>
      <c r="V33" s="175">
        <v>399.13557378495193</v>
      </c>
      <c r="W33" s="170">
        <v>335185.18518518517</v>
      </c>
      <c r="X33" s="575">
        <v>10.304230996948581</v>
      </c>
      <c r="Y33" s="555"/>
      <c r="Z33" s="556"/>
      <c r="AA33" s="556"/>
      <c r="AB33" s="556"/>
    </row>
    <row r="34" spans="1:28">
      <c r="A34" s="166" t="s">
        <v>1300</v>
      </c>
      <c r="B34" s="992">
        <v>100000</v>
      </c>
      <c r="Q34" s="170">
        <f>Q33-$B$34</f>
        <v>8950000</v>
      </c>
      <c r="R34" s="174">
        <v>6.4333546368715078E-2</v>
      </c>
      <c r="S34" s="174">
        <v>2.6229564171022512E-2</v>
      </c>
      <c r="T34" s="174">
        <v>-4.0575854132725131E-2</v>
      </c>
      <c r="U34" s="174">
        <v>0</v>
      </c>
      <c r="V34" s="175">
        <v>394.72523595307399</v>
      </c>
      <c r="W34" s="170">
        <v>331481.48148148146</v>
      </c>
      <c r="X34" s="575">
        <v>10.190372090904951</v>
      </c>
      <c r="Y34" s="555"/>
      <c r="Z34" s="556"/>
      <c r="AA34" s="556"/>
      <c r="AB34" s="556"/>
    </row>
    <row r="35" spans="1:28">
      <c r="A35" s="1053" t="s">
        <v>1301</v>
      </c>
      <c r="B35" s="1054"/>
      <c r="D35" s="1601" t="s">
        <v>1302</v>
      </c>
      <c r="E35" s="1602"/>
      <c r="F35" s="1602"/>
      <c r="G35" s="1602"/>
      <c r="H35" s="1602"/>
      <c r="I35" s="1602"/>
      <c r="J35" s="1602"/>
      <c r="K35" s="1602"/>
      <c r="L35" s="1602"/>
      <c r="M35" s="1602"/>
      <c r="N35" s="1602"/>
      <c r="Q35" s="170">
        <f>Q34-$B$34</f>
        <v>8850000</v>
      </c>
      <c r="R35" s="174">
        <v>6.5188162711864409E-2</v>
      </c>
      <c r="S35" s="174">
        <v>2.7776811186772301E-2</v>
      </c>
      <c r="T35" s="174">
        <v>-3.8546214232316633E-2</v>
      </c>
      <c r="U35" s="174">
        <v>0</v>
      </c>
      <c r="V35" s="175">
        <v>390.31489812119611</v>
      </c>
      <c r="W35" s="170">
        <v>327777.77777777775</v>
      </c>
      <c r="X35" s="575">
        <v>10.076513184861319</v>
      </c>
      <c r="Y35" s="555"/>
      <c r="Z35" s="556"/>
      <c r="AA35" s="556"/>
      <c r="AB35" s="556"/>
    </row>
    <row r="36" spans="1:28" ht="16.5" customHeight="1">
      <c r="A36" s="181" t="s">
        <v>1303</v>
      </c>
      <c r="B36" s="1021" t="s">
        <v>127</v>
      </c>
      <c r="C36" s="180"/>
      <c r="D36" s="1055" t="s">
        <v>1304</v>
      </c>
      <c r="E36" s="1023">
        <v>1</v>
      </c>
      <c r="F36" s="1023">
        <f t="shared" ref="F36:N36" si="0">1+E36</f>
        <v>2</v>
      </c>
      <c r="G36" s="1023">
        <f t="shared" si="0"/>
        <v>3</v>
      </c>
      <c r="H36" s="1023">
        <f t="shared" si="0"/>
        <v>4</v>
      </c>
      <c r="I36" s="1023">
        <f t="shared" si="0"/>
        <v>5</v>
      </c>
      <c r="J36" s="1023">
        <f t="shared" si="0"/>
        <v>6</v>
      </c>
      <c r="K36" s="1023">
        <f t="shared" si="0"/>
        <v>7</v>
      </c>
      <c r="L36" s="1023">
        <f t="shared" si="0"/>
        <v>8</v>
      </c>
      <c r="M36" s="1023">
        <f t="shared" si="0"/>
        <v>9</v>
      </c>
      <c r="N36" s="1024">
        <f t="shared" si="0"/>
        <v>10</v>
      </c>
    </row>
    <row r="37" spans="1:28">
      <c r="A37" s="162" t="s">
        <v>1305</v>
      </c>
      <c r="D37" s="1055" t="s">
        <v>1306</v>
      </c>
      <c r="E37" s="1025"/>
      <c r="F37" s="1026"/>
      <c r="G37" s="1025"/>
      <c r="H37" s="1025"/>
      <c r="I37" s="1025"/>
      <c r="J37" s="1025"/>
      <c r="K37" s="1025"/>
      <c r="L37" s="1025"/>
      <c r="M37" s="1025"/>
      <c r="N37" s="1027"/>
    </row>
    <row r="38" spans="1:28">
      <c r="A38" s="1053" t="s">
        <v>1307</v>
      </c>
      <c r="B38" s="1054"/>
    </row>
    <row r="39" spans="1:28" ht="17.25" customHeight="1">
      <c r="A39" s="182" t="s">
        <v>1308</v>
      </c>
      <c r="B39" s="1022" t="s">
        <v>167</v>
      </c>
    </row>
    <row r="40" spans="1:28" ht="16.5" customHeight="1">
      <c r="A40" s="162" t="s">
        <v>1309</v>
      </c>
      <c r="B40" s="1022" t="s">
        <v>127</v>
      </c>
      <c r="C40" s="550"/>
      <c r="D40" s="1603" t="s">
        <v>1310</v>
      </c>
      <c r="E40" s="1603"/>
    </row>
    <row r="41" spans="1:28" ht="16.5" customHeight="1">
      <c r="A41" s="182" t="s">
        <v>1311</v>
      </c>
      <c r="B41" s="1022" t="s">
        <v>127</v>
      </c>
      <c r="C41" s="550"/>
      <c r="D41" s="1604" t="s">
        <v>39</v>
      </c>
      <c r="E41" s="1605"/>
    </row>
    <row r="42" spans="1:28">
      <c r="A42" s="1053" t="s">
        <v>1312</v>
      </c>
      <c r="B42" s="1056"/>
      <c r="C42" s="550"/>
    </row>
    <row r="43" spans="1:28">
      <c r="A43" s="162" t="s">
        <v>1313</v>
      </c>
      <c r="B43" s="1022" t="s">
        <v>127</v>
      </c>
      <c r="R43" s="168"/>
      <c r="S43" s="169"/>
      <c r="T43" s="169"/>
      <c r="U43" s="169"/>
    </row>
    <row r="44" spans="1:28" hidden="1">
      <c r="A44" s="162" t="str">
        <f>IF(SwitchExistingDebt="Yes, Loan Amount is Estimated", "Estimated Loan Balance","Original Loan Amount")</f>
        <v>Original Loan Amount</v>
      </c>
      <c r="B44" s="1176"/>
      <c r="R44" s="168"/>
      <c r="S44" s="169"/>
      <c r="T44" s="169"/>
      <c r="U44" s="169"/>
    </row>
    <row r="45" spans="1:28" hidden="1">
      <c r="A45" s="182" t="s">
        <v>1314</v>
      </c>
      <c r="B45" s="552">
        <f>IFERROR(-FV(IF(SellerCompounding="Monthly",B47/12,($B$47/2+1)^(2/12)-1),((YEAR(B11)-YEAR(B46))*12+(MONTH(B11)-MONTH(B46))),B51,B44,),0)</f>
        <v>0</v>
      </c>
      <c r="R45" s="168"/>
      <c r="S45" s="169"/>
      <c r="T45" s="169"/>
      <c r="U45" s="169"/>
    </row>
    <row r="46" spans="1:28" hidden="1">
      <c r="A46" s="162" t="s">
        <v>1315</v>
      </c>
      <c r="B46" s="1177"/>
      <c r="R46" s="168"/>
      <c r="S46" s="169"/>
      <c r="T46" s="169"/>
      <c r="U46" s="169"/>
    </row>
    <row r="47" spans="1:28" hidden="1">
      <c r="A47" s="182" t="s">
        <v>10</v>
      </c>
      <c r="B47" s="1178"/>
    </row>
    <row r="48" spans="1:28" hidden="1">
      <c r="A48" s="182" t="s">
        <v>12</v>
      </c>
      <c r="B48" s="1179"/>
    </row>
    <row r="49" spans="1:23" hidden="1">
      <c r="A49" s="162" t="s">
        <v>1043</v>
      </c>
      <c r="B49" s="1179"/>
    </row>
    <row r="50" spans="1:23" hidden="1">
      <c r="A50" s="162" t="s">
        <v>20</v>
      </c>
      <c r="B50" s="553" t="str">
        <f>IFERROR(DATE(YEAR(B46)+B49,MONTH(B46)-1,DAY(B46)),"")</f>
        <v/>
      </c>
    </row>
    <row r="51" spans="1:23" hidden="1">
      <c r="A51" s="182" t="s">
        <v>1047</v>
      </c>
      <c r="B51" s="552">
        <f>IFERROR(PMT(IF(SellerCompounding="Monthly",B47/12,($B$47/2+1)^(2/12)-1),B48*12,B44,0),0)-IF(DATE(YEAR(InputEOrigDate),MONTH(InputEOrigDate)+B55,DAY(InputEOrigDate))&gt;DATE(YEAR(DateOfAnalysis),MONTH(DateOfAnalysis),DAY(DateOfAnalysis)),PPMT(IF(SellerCompounding="Monthly",$B$47/12,($B$47/2+1)^(2/12)-1),1,InputEAmort*12,B44),0)</f>
        <v>0</v>
      </c>
      <c r="E51" s="162"/>
    </row>
    <row r="52" spans="1:23" hidden="1">
      <c r="A52" s="162" t="s">
        <v>29</v>
      </c>
      <c r="B52" s="1180"/>
      <c r="E52" s="322"/>
      <c r="R52" s="169" t="s">
        <v>1316</v>
      </c>
      <c r="S52" s="169" t="s">
        <v>1317</v>
      </c>
      <c r="T52" s="169" t="s">
        <v>1318</v>
      </c>
      <c r="U52" s="169" t="s">
        <v>1318</v>
      </c>
      <c r="V52" s="169"/>
      <c r="W52" s="169"/>
    </row>
    <row r="53" spans="1:23" hidden="1">
      <c r="A53" s="162" t="s">
        <v>1319</v>
      </c>
      <c r="B53" s="1176"/>
      <c r="C53" s="331" t="str">
        <f>IF(AND(B53&gt;0,SwitchAcqMethod="Financed - Assumed"),"Consider removing prepayment amount for assumed loan.","")</f>
        <v/>
      </c>
      <c r="E53" s="162"/>
      <c r="Q53" s="171"/>
      <c r="R53" s="172" t="s">
        <v>1320</v>
      </c>
      <c r="S53" s="172" t="s">
        <v>1320</v>
      </c>
      <c r="T53" s="172" t="s">
        <v>1316</v>
      </c>
      <c r="U53" s="172" t="s">
        <v>1321</v>
      </c>
      <c r="V53" s="172"/>
      <c r="W53" s="172"/>
    </row>
    <row r="54" spans="1:23" hidden="1">
      <c r="A54" s="162" t="s">
        <v>1322</v>
      </c>
      <c r="B54" s="1176"/>
      <c r="E54" s="310"/>
      <c r="Q54" s="1108" t="e">
        <f>#REF!</f>
        <v>#REF!</v>
      </c>
      <c r="R54" s="1104">
        <f>'Pricing Detail'!H17</f>
        <v>5.0182395790536766E-2</v>
      </c>
      <c r="S54" s="1104">
        <f>AVERAGE('Cash Flow'!G77:I77)</f>
        <v>5.5091440104230567E-2</v>
      </c>
      <c r="T54" s="1109">
        <f>'Cash Flow'!G42</f>
        <v>1.5863067392424837</v>
      </c>
      <c r="U54" s="1109">
        <f>'Cash Flow'!H42</f>
        <v>1.6347878222763399</v>
      </c>
      <c r="V54" s="1109"/>
      <c r="W54" s="1109"/>
    </row>
    <row r="55" spans="1:23" hidden="1">
      <c r="A55" s="162" t="s">
        <v>1323</v>
      </c>
      <c r="B55" s="1181"/>
      <c r="E55" s="310"/>
      <c r="Q55" s="1108" t="e">
        <f>#REF!</f>
        <v>#REF!</v>
      </c>
      <c r="R55" s="1104">
        <f t="dataTable" ref="R55:U55" dt2D="0" dtr="0" r1="B9" ca="1"/>
        <v>0</v>
      </c>
      <c r="S55" s="1104" t="e">
        <v>#REF!</v>
      </c>
      <c r="T55" s="1109" t="str">
        <v/>
      </c>
      <c r="U55" s="1109" t="str">
        <v/>
      </c>
      <c r="V55" s="1109"/>
      <c r="W55" s="1109"/>
    </row>
    <row r="56" spans="1:23" hidden="1">
      <c r="A56" s="162" t="s">
        <v>1310</v>
      </c>
      <c r="B56" s="1176" t="s">
        <v>39</v>
      </c>
      <c r="C56"/>
      <c r="R56" s="168"/>
      <c r="S56" s="169"/>
      <c r="T56" s="169"/>
      <c r="U56" s="169"/>
    </row>
    <row r="58" spans="1:23">
      <c r="E58" s="162"/>
    </row>
    <row r="59" spans="1:23">
      <c r="A59" s="254"/>
      <c r="E59" s="162"/>
    </row>
    <row r="60" spans="1:23">
      <c r="A60" s="254" t="s">
        <v>153</v>
      </c>
      <c r="E60" s="162"/>
    </row>
    <row r="61" spans="1:23">
      <c r="A61" s="254" t="s">
        <v>1324</v>
      </c>
      <c r="E61" s="162"/>
    </row>
    <row r="62" spans="1:23">
      <c r="A62" s="254" t="s">
        <v>111</v>
      </c>
    </row>
    <row r="63" spans="1:23">
      <c r="A63" s="254" t="s">
        <v>1325</v>
      </c>
    </row>
    <row r="64" spans="1:23">
      <c r="A64" s="254" t="s">
        <v>1326</v>
      </c>
    </row>
    <row r="65" spans="1:5">
      <c r="A65" s="254" t="s">
        <v>110</v>
      </c>
    </row>
    <row r="66" spans="1:5">
      <c r="A66" s="254" t="s">
        <v>1327</v>
      </c>
    </row>
    <row r="67" spans="1:5">
      <c r="A67" s="254"/>
    </row>
    <row r="68" spans="1:5">
      <c r="A68" s="254"/>
    </row>
    <row r="70" spans="1:5">
      <c r="B70" s="162"/>
    </row>
    <row r="76" spans="1:5">
      <c r="E76" s="162"/>
    </row>
  </sheetData>
  <dataConsolidate link="1"/>
  <customSheetViews>
    <customSheetView guid="{69C84A1D-9653-40D8-9937-75AC608041E0}" showGridLines="0" topLeftCell="A7">
      <selection activeCell="B31" sqref="B31"/>
      <pageMargins left="0" right="0" top="0" bottom="0" header="0" footer="0"/>
      <pageSetup paperSize="0" scale="94" orientation="portrait"/>
    </customSheetView>
  </customSheetViews>
  <mergeCells count="3">
    <mergeCell ref="D35:N35"/>
    <mergeCell ref="D40:E40"/>
    <mergeCell ref="D41:E41"/>
  </mergeCells>
  <conditionalFormatting sqref="D36:N37 D35">
    <cfRule type="expression" dxfId="76" priority="44">
      <formula>$B$36&lt;&gt;"Yes"</formula>
    </cfRule>
  </conditionalFormatting>
  <conditionalFormatting sqref="A44:B55">
    <cfRule type="expression" dxfId="75" priority="11">
      <formula>$B$43="No"</formula>
    </cfRule>
  </conditionalFormatting>
  <conditionalFormatting sqref="B56">
    <cfRule type="expression" dxfId="74" priority="1">
      <formula>$B$43="No"</formula>
    </cfRule>
  </conditionalFormatting>
  <dataValidations count="11">
    <dataValidation type="list" allowBlank="1" showInputMessage="1" showErrorMessage="1" sqref="B39" xr:uid="{00000000-0002-0000-0900-000000000000}">
      <formula1>"All Cash,Financed - New,Financed - Assumed"</formula1>
    </dataValidation>
    <dataValidation type="list" allowBlank="1" showInputMessage="1" showErrorMessage="1" sqref="B16" xr:uid="{00000000-0002-0000-0900-000001000000}">
      <formula1>"Summary,Detail"</formula1>
    </dataValidation>
    <dataValidation type="list" allowBlank="1" showInputMessage="1" showErrorMessage="1" sqref="B40:B41" xr:uid="{00000000-0002-0000-0900-000002000000}">
      <formula1>"Yes,No"</formula1>
    </dataValidation>
    <dataValidation type="list" allowBlank="1" showInputMessage="1" showErrorMessage="1" error="Please select an option from the Drop-down menu._x000a_" sqref="B10" xr:uid="{00000000-0002-0000-0900-000003000000}">
      <formula1>$A$60:$A$61</formula1>
    </dataValidation>
    <dataValidation type="list" allowBlank="1" showInputMessage="1" showErrorMessage="1" error="Please select an option from the Drop-down menu." sqref="B36 B30" xr:uid="{00000000-0002-0000-0900-000004000000}">
      <formula1>"Yes,No"</formula1>
    </dataValidation>
    <dataValidation type="whole" allowBlank="1" showErrorMessage="1" errorTitle="Error: Invalid Input" error="Entry must be a whole number up to 1000 Total Units. Please enter a new value." sqref="B18" xr:uid="{00000000-0002-0000-0900-000005000000}">
      <formula1>0</formula1>
      <formula2>1000</formula2>
    </dataValidation>
    <dataValidation type="whole" operator="greaterThanOrEqual" allowBlank="1" showInputMessage="1" showErrorMessage="1" error="Please enter as a whole number only." sqref="B48:B49" xr:uid="{00000000-0002-0000-0900-000006000000}">
      <formula1>0</formula1>
    </dataValidation>
    <dataValidation allowBlank="1" showInputMessage="1" showErrorMessage="1" promptTitle="Date of Analysis" prompt="_x000a_Date the buyer will acquire the asset. This date will become the loan origination date for new primary and mezzanine debt that is modeled on the debt tab._x000a_" sqref="B11" xr:uid="{00000000-0002-0000-0900-000007000000}"/>
    <dataValidation allowBlank="1" showInputMessage="1" showErrorMessage="1" promptTitle="Lot Size in Acres" prompt="_x000a_Divide Square Feet by 43,560 to convert to Acres." sqref="B13" xr:uid="{00000000-0002-0000-0900-000008000000}"/>
    <dataValidation type="list" allowBlank="1" showInputMessage="1" showErrorMessage="1" promptTitle="Loss/Gain to Lease" prompt="_x000a_Select &quot;Yes&quot; to include the calculations for Loss/Gain to Lease on the Income portion of the Operating Statement._x000a__x000a_Select &quot;No&quot; to hide those calculations on the Operating Statement." sqref="B17" xr:uid="{00000000-0002-0000-0900-000009000000}">
      <formula1>"Yes,No"</formula1>
    </dataValidation>
    <dataValidation type="list" allowBlank="1" showInputMessage="1" showErrorMessage="1" sqref="D41:E41 B56" xr:uid="{00000000-0002-0000-0900-00000A000000}">
      <formula1>"Monthly,Semi-Annually"</formula1>
    </dataValidation>
  </dataValidations>
  <printOptions horizontalCentered="1" verticalCentered="1"/>
  <pageMargins left="0.5" right="0.5" top="1.75" bottom="0.5" header="0" footer="0"/>
  <pageSetup fitToHeight="0" orientation="landscape" cellComments="atEnd" r:id="rId1"/>
  <headerFooter>
    <oddHeader>&amp;C&amp;A</oddHeader>
    <oddFooter>&amp;CNOTICE:This is a draft and not intended for client distribution.</oddFooter>
  </headerFooter>
  <customProperties>
    <customPr name="GUID" r:id="rId2"/>
  </customProperties>
  <ignoredErrors>
    <ignoredError sqref="C9" unlockedFormula="1"/>
  </ignoredErrors>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B000000}">
          <x14:formula1>
            <xm:f>DDL!$A$1:$A$4</xm:f>
          </x14:formula1>
          <xm:sqref>B28</xm:sqref>
        </x14:dataValidation>
        <x14:dataValidation type="list" allowBlank="1" showInputMessage="1" showErrorMessage="1" xr:uid="{00000000-0002-0000-0900-00000C000000}">
          <x14:formula1>
            <xm:f>DDL!$A$52:$A$54</xm:f>
          </x14:formula1>
          <xm:sqref>B43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pageSetUpPr fitToPage="1"/>
  </sheetPr>
  <dimension ref="A1:K662"/>
  <sheetViews>
    <sheetView topLeftCell="A308" workbookViewId="0">
      <selection activeCell="A2" sqref="A2:A336"/>
    </sheetView>
  </sheetViews>
  <sheetFormatPr defaultColWidth="8.85546875" defaultRowHeight="12.75"/>
  <cols>
    <col min="1" max="1" width="22.140625" bestFit="1" customWidth="1"/>
    <col min="2" max="2" width="9.42578125" bestFit="1" customWidth="1"/>
    <col min="3" max="3" width="23.140625" customWidth="1"/>
    <col min="4" max="4" width="8.140625" customWidth="1"/>
    <col min="5" max="5" width="22.140625" bestFit="1" customWidth="1"/>
    <col min="6" max="6" width="20.42578125" bestFit="1" customWidth="1"/>
    <col min="7" max="7" width="4.85546875" customWidth="1"/>
  </cols>
  <sheetData>
    <row r="1" spans="1:11">
      <c r="A1" s="340" t="s">
        <v>146</v>
      </c>
      <c r="B1" s="340" t="s">
        <v>147</v>
      </c>
      <c r="C1" s="340" t="s">
        <v>1328</v>
      </c>
      <c r="D1" s="1606" t="s">
        <v>1329</v>
      </c>
      <c r="E1" s="1606"/>
      <c r="F1" s="1606"/>
      <c r="G1" s="1606"/>
      <c r="I1" s="340" t="s">
        <v>1330</v>
      </c>
      <c r="J1" s="340" t="s">
        <v>1331</v>
      </c>
      <c r="K1" s="340" t="s">
        <v>1332</v>
      </c>
    </row>
    <row r="2" spans="1:11">
      <c r="A2" t="s">
        <v>150</v>
      </c>
      <c r="B2" s="2" t="s">
        <v>1333</v>
      </c>
      <c r="C2" t="s">
        <v>1334</v>
      </c>
      <c r="G2">
        <v>1.4</v>
      </c>
      <c r="I2">
        <v>1.4</v>
      </c>
      <c r="J2">
        <v>2</v>
      </c>
      <c r="K2">
        <v>326</v>
      </c>
    </row>
    <row r="3" spans="1:11">
      <c r="A3" t="s">
        <v>150</v>
      </c>
      <c r="B3" s="2" t="s">
        <v>1335</v>
      </c>
      <c r="C3" t="s">
        <v>1334</v>
      </c>
      <c r="G3">
        <v>1.4</v>
      </c>
      <c r="I3">
        <v>2.2000000000000002</v>
      </c>
    </row>
    <row r="4" spans="1:11">
      <c r="A4" t="s">
        <v>150</v>
      </c>
      <c r="B4" s="2" t="s">
        <v>1336</v>
      </c>
      <c r="C4" t="s">
        <v>1334</v>
      </c>
      <c r="G4">
        <v>1.4</v>
      </c>
    </row>
    <row r="5" spans="1:11">
      <c r="A5" t="s">
        <v>150</v>
      </c>
      <c r="B5" s="2" t="s">
        <v>1337</v>
      </c>
      <c r="C5" t="s">
        <v>1334</v>
      </c>
      <c r="G5">
        <v>1.4</v>
      </c>
    </row>
    <row r="6" spans="1:11">
      <c r="A6" t="s">
        <v>150</v>
      </c>
      <c r="B6" s="2" t="s">
        <v>1338</v>
      </c>
      <c r="C6" t="s">
        <v>1334</v>
      </c>
      <c r="G6">
        <v>1.4</v>
      </c>
    </row>
    <row r="7" spans="1:11">
      <c r="A7" t="s">
        <v>150</v>
      </c>
      <c r="B7" s="2" t="s">
        <v>1339</v>
      </c>
      <c r="C7" t="s">
        <v>1334</v>
      </c>
      <c r="G7">
        <v>1.4</v>
      </c>
    </row>
    <row r="8" spans="1:11">
      <c r="A8" t="s">
        <v>150</v>
      </c>
      <c r="B8" s="2" t="s">
        <v>1340</v>
      </c>
      <c r="C8" t="s">
        <v>1334</v>
      </c>
      <c r="G8">
        <v>1.4</v>
      </c>
    </row>
    <row r="9" spans="1:11">
      <c r="A9" t="s">
        <v>150</v>
      </c>
      <c r="B9" s="2" t="s">
        <v>1341</v>
      </c>
      <c r="C9" t="s">
        <v>1334</v>
      </c>
      <c r="G9">
        <v>1.4</v>
      </c>
    </row>
    <row r="10" spans="1:11">
      <c r="A10" t="s">
        <v>150</v>
      </c>
      <c r="B10" s="2" t="s">
        <v>1342</v>
      </c>
      <c r="C10" t="s">
        <v>1334</v>
      </c>
      <c r="G10">
        <v>1.4</v>
      </c>
    </row>
    <row r="11" spans="1:11">
      <c r="A11" t="s">
        <v>150</v>
      </c>
      <c r="B11" s="2" t="s">
        <v>1343</v>
      </c>
      <c r="C11" t="s">
        <v>1334</v>
      </c>
      <c r="G11">
        <v>1.4</v>
      </c>
    </row>
    <row r="12" spans="1:11">
      <c r="A12" t="s">
        <v>150</v>
      </c>
      <c r="B12" s="2" t="s">
        <v>1344</v>
      </c>
      <c r="C12" t="s">
        <v>1345</v>
      </c>
      <c r="G12">
        <v>1.4</v>
      </c>
    </row>
    <row r="13" spans="1:11">
      <c r="A13" t="s">
        <v>150</v>
      </c>
      <c r="B13" s="2" t="s">
        <v>1346</v>
      </c>
      <c r="C13" t="s">
        <v>1345</v>
      </c>
      <c r="G13">
        <v>1.4</v>
      </c>
    </row>
    <row r="14" spans="1:11">
      <c r="A14" t="s">
        <v>150</v>
      </c>
      <c r="B14" s="2" t="s">
        <v>163</v>
      </c>
      <c r="C14" t="s">
        <v>1345</v>
      </c>
      <c r="G14">
        <v>1.4</v>
      </c>
    </row>
    <row r="15" spans="1:11">
      <c r="A15" t="s">
        <v>150</v>
      </c>
      <c r="B15" s="2" t="s">
        <v>163</v>
      </c>
      <c r="C15" t="s">
        <v>1345</v>
      </c>
      <c r="G15">
        <v>1.4</v>
      </c>
    </row>
    <row r="16" spans="1:11">
      <c r="A16" t="s">
        <v>150</v>
      </c>
      <c r="B16" s="2" t="s">
        <v>1347</v>
      </c>
      <c r="C16" t="s">
        <v>1345</v>
      </c>
      <c r="G16">
        <v>1.4</v>
      </c>
    </row>
    <row r="17" spans="1:7">
      <c r="A17" t="s">
        <v>150</v>
      </c>
      <c r="B17" s="2" t="s">
        <v>1348</v>
      </c>
      <c r="C17" t="s">
        <v>1345</v>
      </c>
      <c r="G17">
        <v>1.4</v>
      </c>
    </row>
    <row r="18" spans="1:7">
      <c r="A18" t="s">
        <v>150</v>
      </c>
      <c r="B18" s="2" t="s">
        <v>1349</v>
      </c>
      <c r="C18" t="s">
        <v>1345</v>
      </c>
      <c r="G18">
        <v>1.4</v>
      </c>
    </row>
    <row r="19" spans="1:7">
      <c r="A19" t="s">
        <v>150</v>
      </c>
      <c r="B19" s="2" t="s">
        <v>1350</v>
      </c>
      <c r="C19" t="s">
        <v>1351</v>
      </c>
      <c r="D19" t="s">
        <v>1352</v>
      </c>
      <c r="E19" t="s">
        <v>908</v>
      </c>
    </row>
    <row r="20" spans="1:7">
      <c r="A20" t="s">
        <v>150</v>
      </c>
      <c r="B20" s="2" t="s">
        <v>1353</v>
      </c>
      <c r="C20" t="s">
        <v>1354</v>
      </c>
      <c r="D20" t="s">
        <v>166</v>
      </c>
      <c r="E20" t="s">
        <v>150</v>
      </c>
      <c r="F20" t="s">
        <v>126</v>
      </c>
      <c r="G20">
        <v>1.4</v>
      </c>
    </row>
    <row r="21" spans="1:7">
      <c r="A21" t="s">
        <v>150</v>
      </c>
      <c r="B21" s="2" t="s">
        <v>1355</v>
      </c>
      <c r="C21" t="s">
        <v>1356</v>
      </c>
      <c r="D21" t="s">
        <v>904</v>
      </c>
      <c r="E21" t="s">
        <v>150</v>
      </c>
      <c r="F21" t="s">
        <v>126</v>
      </c>
      <c r="G21">
        <v>1.4</v>
      </c>
    </row>
    <row r="22" spans="1:7">
      <c r="A22" t="s">
        <v>150</v>
      </c>
      <c r="B22" s="2" t="s">
        <v>1357</v>
      </c>
      <c r="C22" t="s">
        <v>1356</v>
      </c>
      <c r="D22" t="s">
        <v>904</v>
      </c>
      <c r="E22" t="s">
        <v>150</v>
      </c>
      <c r="F22" t="s">
        <v>126</v>
      </c>
      <c r="G22">
        <v>1.4</v>
      </c>
    </row>
    <row r="23" spans="1:7">
      <c r="A23" t="s">
        <v>150</v>
      </c>
      <c r="B23" s="2" t="s">
        <v>1358</v>
      </c>
      <c r="C23" t="s">
        <v>1356</v>
      </c>
      <c r="D23" t="s">
        <v>904</v>
      </c>
      <c r="E23" t="s">
        <v>150</v>
      </c>
      <c r="F23" t="s">
        <v>126</v>
      </c>
      <c r="G23">
        <v>1.4</v>
      </c>
    </row>
    <row r="24" spans="1:7">
      <c r="A24" t="s">
        <v>150</v>
      </c>
      <c r="B24" s="2" t="s">
        <v>1359</v>
      </c>
      <c r="C24" t="s">
        <v>1360</v>
      </c>
      <c r="D24" t="s">
        <v>162</v>
      </c>
      <c r="E24" t="s">
        <v>150</v>
      </c>
      <c r="F24" t="s">
        <v>126</v>
      </c>
      <c r="G24">
        <v>1.4</v>
      </c>
    </row>
    <row r="25" spans="1:7">
      <c r="A25" t="s">
        <v>191</v>
      </c>
      <c r="B25" s="2" t="s">
        <v>1361</v>
      </c>
      <c r="C25" t="s">
        <v>1345</v>
      </c>
      <c r="D25" t="s">
        <v>1352</v>
      </c>
      <c r="E25">
        <v>0</v>
      </c>
      <c r="G25">
        <v>1.4</v>
      </c>
    </row>
    <row r="26" spans="1:7">
      <c r="A26" t="s">
        <v>191</v>
      </c>
      <c r="B26" s="2" t="s">
        <v>1362</v>
      </c>
      <c r="C26" t="s">
        <v>1345</v>
      </c>
      <c r="D26" t="s">
        <v>1352</v>
      </c>
      <c r="E26" t="s">
        <v>195</v>
      </c>
      <c r="G26">
        <v>1.4</v>
      </c>
    </row>
    <row r="27" spans="1:7">
      <c r="A27" t="s">
        <v>223</v>
      </c>
      <c r="B27" s="2" t="s">
        <v>753</v>
      </c>
      <c r="C27" t="s">
        <v>1363</v>
      </c>
      <c r="D27" t="s">
        <v>902</v>
      </c>
      <c r="E27" t="s">
        <v>150</v>
      </c>
      <c r="F27" t="s">
        <v>126</v>
      </c>
      <c r="G27">
        <v>1.4</v>
      </c>
    </row>
    <row r="28" spans="1:7">
      <c r="A28" t="s">
        <v>935</v>
      </c>
      <c r="B28" s="2" t="s">
        <v>1364</v>
      </c>
      <c r="C28" t="s">
        <v>1360</v>
      </c>
      <c r="D28" t="s">
        <v>162</v>
      </c>
      <c r="E28" t="s">
        <v>150</v>
      </c>
      <c r="F28" t="s">
        <v>126</v>
      </c>
      <c r="G28">
        <v>1.4</v>
      </c>
    </row>
    <row r="29" spans="1:7">
      <c r="A29" t="s">
        <v>935</v>
      </c>
      <c r="B29" s="2" t="s">
        <v>1365</v>
      </c>
      <c r="C29" t="s">
        <v>1360</v>
      </c>
      <c r="D29" t="s">
        <v>162</v>
      </c>
      <c r="E29" t="s">
        <v>150</v>
      </c>
      <c r="F29" t="s">
        <v>126</v>
      </c>
      <c r="G29">
        <v>1.4</v>
      </c>
    </row>
    <row r="30" spans="1:7">
      <c r="A30" t="s">
        <v>935</v>
      </c>
      <c r="B30" s="2" t="s">
        <v>1366</v>
      </c>
      <c r="C30" t="s">
        <v>1360</v>
      </c>
      <c r="D30" t="s">
        <v>162</v>
      </c>
      <c r="E30" t="s">
        <v>150</v>
      </c>
      <c r="F30" t="s">
        <v>126</v>
      </c>
      <c r="G30">
        <v>1.4</v>
      </c>
    </row>
    <row r="31" spans="1:7">
      <c r="A31" t="s">
        <v>935</v>
      </c>
      <c r="B31" s="2" t="s">
        <v>1367</v>
      </c>
      <c r="C31" t="s">
        <v>1360</v>
      </c>
      <c r="D31" t="s">
        <v>162</v>
      </c>
      <c r="E31" t="s">
        <v>150</v>
      </c>
      <c r="F31" t="s">
        <v>126</v>
      </c>
      <c r="G31">
        <v>1.4</v>
      </c>
    </row>
    <row r="32" spans="1:7">
      <c r="A32" t="s">
        <v>223</v>
      </c>
      <c r="B32" s="2" t="s">
        <v>1368</v>
      </c>
      <c r="C32" t="s">
        <v>1345</v>
      </c>
      <c r="G32">
        <v>1.4</v>
      </c>
    </row>
    <row r="33" spans="1:7">
      <c r="A33" t="s">
        <v>223</v>
      </c>
      <c r="B33" s="2" t="s">
        <v>1369</v>
      </c>
      <c r="C33" t="s">
        <v>1345</v>
      </c>
      <c r="G33">
        <v>1.4</v>
      </c>
    </row>
    <row r="34" spans="1:7">
      <c r="A34" t="s">
        <v>223</v>
      </c>
      <c r="B34" s="2" t="s">
        <v>224</v>
      </c>
      <c r="C34" t="s">
        <v>1370</v>
      </c>
      <c r="D34" t="s">
        <v>1371</v>
      </c>
      <c r="E34" t="s">
        <v>150</v>
      </c>
      <c r="F34" t="s">
        <v>1372</v>
      </c>
      <c r="G34">
        <v>1.4</v>
      </c>
    </row>
    <row r="35" spans="1:7">
      <c r="A35" t="s">
        <v>223</v>
      </c>
      <c r="B35" s="2" t="s">
        <v>226</v>
      </c>
      <c r="C35" t="s">
        <v>1370</v>
      </c>
      <c r="D35" t="s">
        <v>1371</v>
      </c>
      <c r="E35" t="s">
        <v>150</v>
      </c>
      <c r="F35" t="s">
        <v>1372</v>
      </c>
      <c r="G35">
        <v>1.4</v>
      </c>
    </row>
    <row r="36" spans="1:7">
      <c r="A36" t="s">
        <v>223</v>
      </c>
      <c r="B36" s="2" t="s">
        <v>1373</v>
      </c>
      <c r="C36" t="s">
        <v>1370</v>
      </c>
      <c r="D36" t="s">
        <v>1371</v>
      </c>
      <c r="E36" t="s">
        <v>150</v>
      </c>
      <c r="F36" t="s">
        <v>1372</v>
      </c>
      <c r="G36">
        <v>1.4</v>
      </c>
    </row>
    <row r="37" spans="1:7">
      <c r="A37" t="s">
        <v>223</v>
      </c>
      <c r="B37" s="2" t="s">
        <v>231</v>
      </c>
      <c r="C37" t="s">
        <v>1370</v>
      </c>
      <c r="D37" t="s">
        <v>1371</v>
      </c>
      <c r="E37" t="s">
        <v>150</v>
      </c>
      <c r="F37" t="s">
        <v>1372</v>
      </c>
      <c r="G37">
        <v>1.4</v>
      </c>
    </row>
    <row r="38" spans="1:7">
      <c r="A38" t="s">
        <v>223</v>
      </c>
      <c r="B38" s="2" t="s">
        <v>233</v>
      </c>
      <c r="C38" t="s">
        <v>1370</v>
      </c>
      <c r="D38" t="s">
        <v>1371</v>
      </c>
      <c r="E38" t="s">
        <v>150</v>
      </c>
      <c r="F38" t="s">
        <v>1372</v>
      </c>
      <c r="G38">
        <v>1.4</v>
      </c>
    </row>
    <row r="39" spans="1:7">
      <c r="A39" t="s">
        <v>223</v>
      </c>
      <c r="B39" s="2" t="s">
        <v>230</v>
      </c>
      <c r="C39" t="s">
        <v>1374</v>
      </c>
      <c r="D39" t="s">
        <v>1371</v>
      </c>
      <c r="E39" t="s">
        <v>150</v>
      </c>
      <c r="F39" t="s">
        <v>1375</v>
      </c>
      <c r="G39">
        <v>1.4</v>
      </c>
    </row>
    <row r="40" spans="1:7">
      <c r="A40" t="s">
        <v>223</v>
      </c>
      <c r="B40" s="2" t="s">
        <v>232</v>
      </c>
      <c r="C40" t="s">
        <v>1374</v>
      </c>
      <c r="D40" t="s">
        <v>1371</v>
      </c>
      <c r="E40" t="s">
        <v>150</v>
      </c>
      <c r="F40" t="s">
        <v>1375</v>
      </c>
      <c r="G40">
        <v>1.4</v>
      </c>
    </row>
    <row r="41" spans="1:7">
      <c r="A41" t="s">
        <v>223</v>
      </c>
      <c r="B41" s="2" t="s">
        <v>244</v>
      </c>
      <c r="C41" t="s">
        <v>1376</v>
      </c>
      <c r="D41" t="s">
        <v>901</v>
      </c>
      <c r="E41" t="s">
        <v>150</v>
      </c>
      <c r="F41" t="s">
        <v>126</v>
      </c>
      <c r="G41">
        <v>1.4</v>
      </c>
    </row>
    <row r="42" spans="1:7">
      <c r="A42" t="s">
        <v>223</v>
      </c>
      <c r="B42" s="2" t="s">
        <v>257</v>
      </c>
      <c r="C42" t="s">
        <v>1376</v>
      </c>
      <c r="D42" t="s">
        <v>901</v>
      </c>
      <c r="E42" t="s">
        <v>150</v>
      </c>
      <c r="F42" t="s">
        <v>126</v>
      </c>
      <c r="G42">
        <v>1.4</v>
      </c>
    </row>
    <row r="43" spans="1:7">
      <c r="A43" t="s">
        <v>223</v>
      </c>
      <c r="B43" s="2" t="s">
        <v>423</v>
      </c>
      <c r="C43" t="s">
        <v>1376</v>
      </c>
      <c r="D43" t="s">
        <v>901</v>
      </c>
      <c r="E43" t="s">
        <v>150</v>
      </c>
      <c r="F43" t="s">
        <v>126</v>
      </c>
      <c r="G43">
        <v>1.4</v>
      </c>
    </row>
    <row r="44" spans="1:7">
      <c r="A44" t="s">
        <v>223</v>
      </c>
      <c r="B44" s="2" t="s">
        <v>1377</v>
      </c>
      <c r="C44" t="s">
        <v>1376</v>
      </c>
      <c r="D44" t="s">
        <v>901</v>
      </c>
      <c r="E44" t="s">
        <v>150</v>
      </c>
      <c r="F44" t="s">
        <v>126</v>
      </c>
      <c r="G44">
        <v>1.4</v>
      </c>
    </row>
    <row r="45" spans="1:7">
      <c r="A45" t="s">
        <v>223</v>
      </c>
      <c r="B45" s="2" t="s">
        <v>1378</v>
      </c>
      <c r="C45" t="s">
        <v>1376</v>
      </c>
      <c r="D45" t="s">
        <v>901</v>
      </c>
      <c r="E45" t="s">
        <v>150</v>
      </c>
      <c r="F45" t="s">
        <v>126</v>
      </c>
      <c r="G45">
        <v>1.4</v>
      </c>
    </row>
    <row r="46" spans="1:7">
      <c r="A46" t="s">
        <v>223</v>
      </c>
      <c r="B46" s="2" t="s">
        <v>1379</v>
      </c>
      <c r="C46" t="s">
        <v>1363</v>
      </c>
      <c r="D46" t="s">
        <v>902</v>
      </c>
      <c r="E46" t="s">
        <v>150</v>
      </c>
      <c r="F46" t="s">
        <v>126</v>
      </c>
      <c r="G46">
        <v>1.4</v>
      </c>
    </row>
    <row r="47" spans="1:7">
      <c r="A47" t="s">
        <v>223</v>
      </c>
      <c r="B47" s="2" t="s">
        <v>1380</v>
      </c>
      <c r="C47" t="s">
        <v>1363</v>
      </c>
      <c r="D47" t="s">
        <v>902</v>
      </c>
      <c r="E47" t="s">
        <v>150</v>
      </c>
      <c r="F47" t="s">
        <v>126</v>
      </c>
      <c r="G47">
        <v>1.4</v>
      </c>
    </row>
    <row r="48" spans="1:7">
      <c r="A48" t="s">
        <v>223</v>
      </c>
      <c r="B48" s="2" t="s">
        <v>1381</v>
      </c>
      <c r="C48" t="s">
        <v>1363</v>
      </c>
      <c r="D48" t="s">
        <v>902</v>
      </c>
      <c r="E48" t="s">
        <v>150</v>
      </c>
      <c r="F48" t="s">
        <v>126</v>
      </c>
      <c r="G48">
        <v>1.4</v>
      </c>
    </row>
    <row r="49" spans="1:7">
      <c r="A49" t="s">
        <v>223</v>
      </c>
      <c r="B49" s="2" t="s">
        <v>300</v>
      </c>
      <c r="C49" t="s">
        <v>1363</v>
      </c>
      <c r="D49" t="s">
        <v>902</v>
      </c>
      <c r="E49" t="s">
        <v>150</v>
      </c>
      <c r="F49" t="s">
        <v>126</v>
      </c>
      <c r="G49">
        <v>1.4</v>
      </c>
    </row>
    <row r="50" spans="1:7">
      <c r="A50" t="s">
        <v>223</v>
      </c>
      <c r="B50" s="2" t="s">
        <v>259</v>
      </c>
      <c r="C50" t="s">
        <v>1382</v>
      </c>
      <c r="D50" t="s">
        <v>902</v>
      </c>
      <c r="E50" t="s">
        <v>150</v>
      </c>
      <c r="F50" t="s">
        <v>1383</v>
      </c>
      <c r="G50">
        <v>1.4</v>
      </c>
    </row>
    <row r="51" spans="1:7">
      <c r="A51" t="s">
        <v>182</v>
      </c>
      <c r="B51" t="s">
        <v>1384</v>
      </c>
      <c r="C51" t="s">
        <v>1385</v>
      </c>
      <c r="D51" t="s">
        <v>159</v>
      </c>
      <c r="E51" t="s">
        <v>182</v>
      </c>
      <c r="F51" t="s">
        <v>1386</v>
      </c>
      <c r="G51">
        <v>1.4</v>
      </c>
    </row>
    <row r="52" spans="1:7">
      <c r="A52" t="s">
        <v>182</v>
      </c>
      <c r="B52" t="s">
        <v>1387</v>
      </c>
      <c r="C52" t="s">
        <v>1385</v>
      </c>
      <c r="D52" t="s">
        <v>172</v>
      </c>
      <c r="E52" t="s">
        <v>182</v>
      </c>
      <c r="F52" t="s">
        <v>1386</v>
      </c>
      <c r="G52">
        <v>1.4</v>
      </c>
    </row>
    <row r="53" spans="1:7">
      <c r="A53" t="s">
        <v>182</v>
      </c>
      <c r="B53" t="s">
        <v>1388</v>
      </c>
      <c r="C53" t="s">
        <v>1385</v>
      </c>
      <c r="D53" t="s">
        <v>193</v>
      </c>
      <c r="E53" t="s">
        <v>182</v>
      </c>
      <c r="F53" t="s">
        <v>1386</v>
      </c>
      <c r="G53">
        <v>1.4</v>
      </c>
    </row>
    <row r="54" spans="1:7">
      <c r="A54" t="s">
        <v>182</v>
      </c>
      <c r="B54" t="s">
        <v>1389</v>
      </c>
      <c r="C54" t="s">
        <v>1385</v>
      </c>
      <c r="D54" t="s">
        <v>1371</v>
      </c>
      <c r="E54" t="s">
        <v>182</v>
      </c>
      <c r="F54" t="s">
        <v>1386</v>
      </c>
      <c r="G54">
        <v>1.4</v>
      </c>
    </row>
    <row r="55" spans="1:7">
      <c r="A55" t="s">
        <v>182</v>
      </c>
      <c r="B55" t="s">
        <v>1390</v>
      </c>
      <c r="C55" t="s">
        <v>1385</v>
      </c>
      <c r="D55" t="s">
        <v>1391</v>
      </c>
      <c r="E55" t="s">
        <v>182</v>
      </c>
      <c r="F55" t="s">
        <v>1386</v>
      </c>
      <c r="G55">
        <v>1.4</v>
      </c>
    </row>
    <row r="56" spans="1:7">
      <c r="A56" t="s">
        <v>182</v>
      </c>
      <c r="B56" t="s">
        <v>1392</v>
      </c>
      <c r="C56" t="s">
        <v>1385</v>
      </c>
      <c r="D56" t="s">
        <v>1393</v>
      </c>
      <c r="E56" t="s">
        <v>182</v>
      </c>
      <c r="F56" t="s">
        <v>1386</v>
      </c>
      <c r="G56">
        <v>1.4</v>
      </c>
    </row>
    <row r="57" spans="1:7">
      <c r="A57" t="s">
        <v>182</v>
      </c>
      <c r="B57" t="s">
        <v>1394</v>
      </c>
      <c r="C57" t="s">
        <v>1385</v>
      </c>
      <c r="D57" t="s">
        <v>1395</v>
      </c>
      <c r="E57" t="s">
        <v>182</v>
      </c>
      <c r="F57" t="s">
        <v>1386</v>
      </c>
      <c r="G57">
        <v>1.4</v>
      </c>
    </row>
    <row r="58" spans="1:7">
      <c r="A58" t="s">
        <v>182</v>
      </c>
      <c r="B58" t="s">
        <v>1396</v>
      </c>
      <c r="C58" t="s">
        <v>1385</v>
      </c>
      <c r="D58" t="s">
        <v>1397</v>
      </c>
      <c r="E58" t="s">
        <v>182</v>
      </c>
      <c r="F58" t="s">
        <v>1386</v>
      </c>
      <c r="G58">
        <v>1.4</v>
      </c>
    </row>
    <row r="59" spans="1:7">
      <c r="A59" t="s">
        <v>182</v>
      </c>
      <c r="B59" t="s">
        <v>1384</v>
      </c>
      <c r="C59" t="s">
        <v>1398</v>
      </c>
      <c r="D59" t="s">
        <v>155</v>
      </c>
      <c r="E59" t="s">
        <v>150</v>
      </c>
      <c r="F59" t="s">
        <v>897</v>
      </c>
      <c r="G59">
        <v>1.4</v>
      </c>
    </row>
    <row r="60" spans="1:7">
      <c r="A60" t="s">
        <v>182</v>
      </c>
      <c r="B60" t="s">
        <v>1387</v>
      </c>
      <c r="C60" t="s">
        <v>1398</v>
      </c>
      <c r="D60" t="s">
        <v>155</v>
      </c>
      <c r="E60" t="s">
        <v>150</v>
      </c>
      <c r="F60" t="s">
        <v>897</v>
      </c>
      <c r="G60">
        <v>1.4</v>
      </c>
    </row>
    <row r="61" spans="1:7">
      <c r="A61" t="s">
        <v>182</v>
      </c>
      <c r="B61" t="s">
        <v>1388</v>
      </c>
      <c r="C61" t="s">
        <v>1398</v>
      </c>
      <c r="D61" t="s">
        <v>155</v>
      </c>
      <c r="E61" t="s">
        <v>150</v>
      </c>
      <c r="F61" t="s">
        <v>897</v>
      </c>
      <c r="G61">
        <v>1.4</v>
      </c>
    </row>
    <row r="62" spans="1:7">
      <c r="A62" t="s">
        <v>182</v>
      </c>
      <c r="B62" t="s">
        <v>1389</v>
      </c>
      <c r="C62" t="s">
        <v>1398</v>
      </c>
      <c r="D62" t="s">
        <v>155</v>
      </c>
      <c r="E62" t="s">
        <v>150</v>
      </c>
      <c r="F62" t="s">
        <v>897</v>
      </c>
      <c r="G62">
        <v>1.4</v>
      </c>
    </row>
    <row r="63" spans="1:7">
      <c r="A63" t="s">
        <v>182</v>
      </c>
      <c r="B63" t="s">
        <v>1390</v>
      </c>
      <c r="C63" t="s">
        <v>1398</v>
      </c>
      <c r="D63" t="s">
        <v>155</v>
      </c>
      <c r="E63" t="s">
        <v>150</v>
      </c>
      <c r="F63" t="s">
        <v>897</v>
      </c>
      <c r="G63">
        <v>1.4</v>
      </c>
    </row>
    <row r="64" spans="1:7">
      <c r="A64" t="s">
        <v>182</v>
      </c>
      <c r="B64" t="s">
        <v>1392</v>
      </c>
      <c r="C64" t="s">
        <v>1398</v>
      </c>
      <c r="D64" t="s">
        <v>155</v>
      </c>
      <c r="E64" t="s">
        <v>150</v>
      </c>
      <c r="F64" t="s">
        <v>897</v>
      </c>
      <c r="G64">
        <v>1.4</v>
      </c>
    </row>
    <row r="65" spans="1:7">
      <c r="A65" t="s">
        <v>182</v>
      </c>
      <c r="B65" t="s">
        <v>1394</v>
      </c>
      <c r="C65" t="s">
        <v>1398</v>
      </c>
      <c r="D65" t="s">
        <v>155</v>
      </c>
      <c r="E65" t="s">
        <v>150</v>
      </c>
      <c r="F65" t="s">
        <v>897</v>
      </c>
      <c r="G65">
        <v>1.4</v>
      </c>
    </row>
    <row r="66" spans="1:7">
      <c r="A66" t="s">
        <v>182</v>
      </c>
      <c r="B66" t="s">
        <v>1396</v>
      </c>
      <c r="C66" t="s">
        <v>1398</v>
      </c>
      <c r="D66" t="s">
        <v>155</v>
      </c>
      <c r="E66" t="s">
        <v>150</v>
      </c>
      <c r="F66" t="s">
        <v>897</v>
      </c>
      <c r="G66">
        <v>1.4</v>
      </c>
    </row>
    <row r="67" spans="1:7">
      <c r="A67" t="s">
        <v>182</v>
      </c>
      <c r="B67" s="2" t="s">
        <v>151</v>
      </c>
      <c r="C67" t="s">
        <v>1399</v>
      </c>
      <c r="D67" t="s">
        <v>155</v>
      </c>
      <c r="E67" t="s">
        <v>150</v>
      </c>
      <c r="F67" t="s">
        <v>897</v>
      </c>
      <c r="G67">
        <v>1.4</v>
      </c>
    </row>
    <row r="68" spans="1:7">
      <c r="A68" t="s">
        <v>182</v>
      </c>
      <c r="B68" s="2" t="s">
        <v>165</v>
      </c>
      <c r="C68" t="s">
        <v>1399</v>
      </c>
      <c r="D68" t="s">
        <v>155</v>
      </c>
      <c r="E68" t="s">
        <v>150</v>
      </c>
      <c r="F68" t="s">
        <v>897</v>
      </c>
      <c r="G68">
        <v>1.4</v>
      </c>
    </row>
    <row r="69" spans="1:7">
      <c r="A69" t="s">
        <v>182</v>
      </c>
      <c r="B69" s="2" t="s">
        <v>162</v>
      </c>
      <c r="C69" t="s">
        <v>1399</v>
      </c>
      <c r="D69" t="s">
        <v>155</v>
      </c>
      <c r="E69" t="s">
        <v>150</v>
      </c>
      <c r="F69" t="s">
        <v>897</v>
      </c>
      <c r="G69">
        <v>1.4</v>
      </c>
    </row>
    <row r="70" spans="1:7">
      <c r="A70" t="s">
        <v>182</v>
      </c>
      <c r="B70" s="2" t="s">
        <v>171</v>
      </c>
      <c r="C70" t="s">
        <v>1399</v>
      </c>
      <c r="D70" t="s">
        <v>155</v>
      </c>
      <c r="E70" t="s">
        <v>150</v>
      </c>
      <c r="F70" t="s">
        <v>897</v>
      </c>
      <c r="G70">
        <v>1.4</v>
      </c>
    </row>
    <row r="71" spans="1:7">
      <c r="A71" t="s">
        <v>182</v>
      </c>
      <c r="B71" s="2" t="s">
        <v>1400</v>
      </c>
      <c r="C71" t="s">
        <v>1399</v>
      </c>
      <c r="D71" t="s">
        <v>155</v>
      </c>
      <c r="E71" t="s">
        <v>150</v>
      </c>
      <c r="F71" t="s">
        <v>897</v>
      </c>
      <c r="G71">
        <v>1.4</v>
      </c>
    </row>
    <row r="72" spans="1:7">
      <c r="A72" t="s">
        <v>182</v>
      </c>
      <c r="B72" s="2" t="s">
        <v>1401</v>
      </c>
      <c r="C72" t="s">
        <v>1399</v>
      </c>
      <c r="D72" t="s">
        <v>155</v>
      </c>
      <c r="E72" t="s">
        <v>150</v>
      </c>
      <c r="F72" t="s">
        <v>897</v>
      </c>
      <c r="G72">
        <v>1.4</v>
      </c>
    </row>
    <row r="73" spans="1:7">
      <c r="A73" t="s">
        <v>182</v>
      </c>
      <c r="B73" s="2" t="s">
        <v>1402</v>
      </c>
      <c r="C73" t="s">
        <v>1399</v>
      </c>
      <c r="D73" t="s">
        <v>155</v>
      </c>
      <c r="E73" t="s">
        <v>150</v>
      </c>
      <c r="F73" t="s">
        <v>897</v>
      </c>
      <c r="G73">
        <v>1.4</v>
      </c>
    </row>
    <row r="74" spans="1:7">
      <c r="A74" t="s">
        <v>182</v>
      </c>
      <c r="B74" s="2" t="s">
        <v>1403</v>
      </c>
      <c r="C74" t="s">
        <v>1399</v>
      </c>
      <c r="D74" t="s">
        <v>155</v>
      </c>
      <c r="E74" t="s">
        <v>150</v>
      </c>
      <c r="F74" t="s">
        <v>897</v>
      </c>
      <c r="G74">
        <v>1.4</v>
      </c>
    </row>
    <row r="75" spans="1:7">
      <c r="A75" t="s">
        <v>179</v>
      </c>
      <c r="B75" s="2" t="s">
        <v>159</v>
      </c>
      <c r="C75" t="s">
        <v>1404</v>
      </c>
      <c r="D75" t="s">
        <v>155</v>
      </c>
      <c r="E75" t="s">
        <v>150</v>
      </c>
      <c r="F75" t="s">
        <v>1405</v>
      </c>
      <c r="G75">
        <v>1.4</v>
      </c>
    </row>
    <row r="76" spans="1:7">
      <c r="A76" t="s">
        <v>179</v>
      </c>
      <c r="B76" s="2" t="s">
        <v>158</v>
      </c>
      <c r="C76" t="s">
        <v>1404</v>
      </c>
      <c r="D76" t="s">
        <v>155</v>
      </c>
      <c r="E76" t="s">
        <v>150</v>
      </c>
      <c r="F76" t="s">
        <v>1405</v>
      </c>
      <c r="G76">
        <v>1.4</v>
      </c>
    </row>
    <row r="77" spans="1:7">
      <c r="A77" t="s">
        <v>179</v>
      </c>
      <c r="B77" s="2" t="s">
        <v>170</v>
      </c>
      <c r="C77" t="s">
        <v>1404</v>
      </c>
      <c r="D77" t="s">
        <v>155</v>
      </c>
      <c r="E77" t="s">
        <v>150</v>
      </c>
      <c r="F77" t="s">
        <v>1405</v>
      </c>
      <c r="G77">
        <v>1.4</v>
      </c>
    </row>
    <row r="78" spans="1:7">
      <c r="A78" t="s">
        <v>179</v>
      </c>
      <c r="B78" s="2" t="s">
        <v>181</v>
      </c>
      <c r="C78" t="s">
        <v>1404</v>
      </c>
      <c r="D78" t="s">
        <v>155</v>
      </c>
      <c r="E78" t="s">
        <v>150</v>
      </c>
      <c r="F78" t="s">
        <v>1405</v>
      </c>
      <c r="G78">
        <v>1.4</v>
      </c>
    </row>
    <row r="79" spans="1:7">
      <c r="A79" t="s">
        <v>179</v>
      </c>
      <c r="B79" s="2" t="s">
        <v>1406</v>
      </c>
      <c r="C79" t="s">
        <v>1404</v>
      </c>
      <c r="D79" t="s">
        <v>155</v>
      </c>
      <c r="E79" t="s">
        <v>150</v>
      </c>
      <c r="F79" t="s">
        <v>1405</v>
      </c>
      <c r="G79">
        <v>1.4</v>
      </c>
    </row>
    <row r="80" spans="1:7">
      <c r="A80" t="s">
        <v>179</v>
      </c>
      <c r="B80" s="2" t="s">
        <v>1407</v>
      </c>
      <c r="C80" t="s">
        <v>1404</v>
      </c>
      <c r="D80" t="s">
        <v>155</v>
      </c>
      <c r="E80" t="s">
        <v>150</v>
      </c>
      <c r="F80" t="s">
        <v>1405</v>
      </c>
      <c r="G80">
        <v>1.4</v>
      </c>
    </row>
    <row r="81" spans="1:7">
      <c r="A81" t="s">
        <v>179</v>
      </c>
      <c r="B81" s="2" t="s">
        <v>1408</v>
      </c>
      <c r="C81" t="s">
        <v>1404</v>
      </c>
      <c r="D81" t="s">
        <v>155</v>
      </c>
      <c r="E81" t="s">
        <v>150</v>
      </c>
      <c r="F81" t="s">
        <v>1405</v>
      </c>
      <c r="G81">
        <v>1.4</v>
      </c>
    </row>
    <row r="82" spans="1:7">
      <c r="A82" t="s">
        <v>179</v>
      </c>
      <c r="B82" s="2" t="s">
        <v>1409</v>
      </c>
      <c r="C82" t="s">
        <v>1404</v>
      </c>
      <c r="D82" t="s">
        <v>155</v>
      </c>
      <c r="E82" t="s">
        <v>150</v>
      </c>
      <c r="F82" t="s">
        <v>1405</v>
      </c>
      <c r="G82">
        <v>1.4</v>
      </c>
    </row>
    <row r="83" spans="1:7">
      <c r="A83" t="s">
        <v>191</v>
      </c>
      <c r="B83" t="s">
        <v>1410</v>
      </c>
      <c r="C83" t="s">
        <v>1411</v>
      </c>
      <c r="D83" t="s">
        <v>1410</v>
      </c>
      <c r="E83" t="s">
        <v>191</v>
      </c>
      <c r="F83" t="s">
        <v>1386</v>
      </c>
      <c r="G83">
        <v>1.4</v>
      </c>
    </row>
    <row r="84" spans="1:7">
      <c r="A84" t="s">
        <v>191</v>
      </c>
      <c r="B84" t="s">
        <v>1412</v>
      </c>
      <c r="C84" t="s">
        <v>1411</v>
      </c>
      <c r="D84" t="s">
        <v>1412</v>
      </c>
      <c r="E84" t="s">
        <v>191</v>
      </c>
      <c r="F84" t="s">
        <v>1386</v>
      </c>
      <c r="G84">
        <v>1.4</v>
      </c>
    </row>
    <row r="85" spans="1:7">
      <c r="A85" t="s">
        <v>191</v>
      </c>
      <c r="B85" t="s">
        <v>1413</v>
      </c>
      <c r="C85" t="s">
        <v>1411</v>
      </c>
      <c r="D85" t="s">
        <v>1413</v>
      </c>
      <c r="E85" t="s">
        <v>191</v>
      </c>
      <c r="F85" t="s">
        <v>1386</v>
      </c>
      <c r="G85">
        <v>1.4</v>
      </c>
    </row>
    <row r="86" spans="1:7">
      <c r="A86" t="s">
        <v>191</v>
      </c>
      <c r="B86" t="s">
        <v>1414</v>
      </c>
      <c r="C86" t="s">
        <v>1411</v>
      </c>
      <c r="D86" t="s">
        <v>1414</v>
      </c>
      <c r="E86" t="s">
        <v>191</v>
      </c>
      <c r="F86" t="s">
        <v>1386</v>
      </c>
      <c r="G86">
        <v>1.4</v>
      </c>
    </row>
    <row r="87" spans="1:7">
      <c r="A87" t="s">
        <v>191</v>
      </c>
      <c r="B87" t="s">
        <v>1415</v>
      </c>
      <c r="C87" t="s">
        <v>1411</v>
      </c>
      <c r="D87" t="s">
        <v>1415</v>
      </c>
      <c r="E87" t="s">
        <v>191</v>
      </c>
      <c r="F87" t="s">
        <v>1386</v>
      </c>
      <c r="G87">
        <v>1.4</v>
      </c>
    </row>
    <row r="88" spans="1:7">
      <c r="A88" t="s">
        <v>191</v>
      </c>
      <c r="B88" t="s">
        <v>1416</v>
      </c>
      <c r="C88" t="s">
        <v>1411</v>
      </c>
      <c r="D88" t="s">
        <v>1416</v>
      </c>
      <c r="E88" t="s">
        <v>191</v>
      </c>
      <c r="F88" t="s">
        <v>1386</v>
      </c>
      <c r="G88">
        <v>1.4</v>
      </c>
    </row>
    <row r="89" spans="1:7">
      <c r="A89" t="s">
        <v>191</v>
      </c>
      <c r="B89" t="s">
        <v>1417</v>
      </c>
      <c r="C89" t="s">
        <v>1411</v>
      </c>
      <c r="D89" t="s">
        <v>1417</v>
      </c>
      <c r="E89" t="s">
        <v>191</v>
      </c>
      <c r="F89" t="s">
        <v>1386</v>
      </c>
      <c r="G89">
        <v>1.4</v>
      </c>
    </row>
    <row r="90" spans="1:7">
      <c r="A90" t="s">
        <v>191</v>
      </c>
      <c r="B90" t="s">
        <v>1418</v>
      </c>
      <c r="C90" t="s">
        <v>1411</v>
      </c>
      <c r="D90" t="s">
        <v>1418</v>
      </c>
      <c r="E90" t="s">
        <v>191</v>
      </c>
      <c r="F90" t="s">
        <v>1386</v>
      </c>
      <c r="G90">
        <v>1.4</v>
      </c>
    </row>
    <row r="91" spans="1:7">
      <c r="A91" t="s">
        <v>191</v>
      </c>
      <c r="B91" t="s">
        <v>1419</v>
      </c>
      <c r="C91" t="s">
        <v>1411</v>
      </c>
      <c r="D91" t="s">
        <v>1419</v>
      </c>
      <c r="E91" t="s">
        <v>191</v>
      </c>
      <c r="F91" t="s">
        <v>1386</v>
      </c>
      <c r="G91">
        <v>1.4</v>
      </c>
    </row>
    <row r="92" spans="1:7">
      <c r="A92" t="s">
        <v>191</v>
      </c>
      <c r="B92" t="s">
        <v>1420</v>
      </c>
      <c r="C92" t="s">
        <v>1411</v>
      </c>
      <c r="D92" t="s">
        <v>1420</v>
      </c>
      <c r="E92" t="s">
        <v>191</v>
      </c>
      <c r="F92" t="s">
        <v>1386</v>
      </c>
      <c r="G92">
        <v>1.4</v>
      </c>
    </row>
    <row r="93" spans="1:7">
      <c r="A93" t="s">
        <v>191</v>
      </c>
      <c r="B93" t="s">
        <v>1421</v>
      </c>
      <c r="C93" t="s">
        <v>1411</v>
      </c>
      <c r="D93" t="s">
        <v>1421</v>
      </c>
      <c r="E93" t="s">
        <v>191</v>
      </c>
      <c r="F93" t="s">
        <v>1386</v>
      </c>
      <c r="G93">
        <v>1.4</v>
      </c>
    </row>
    <row r="94" spans="1:7">
      <c r="A94" t="s">
        <v>191</v>
      </c>
      <c r="B94" t="s">
        <v>1422</v>
      </c>
      <c r="C94" t="s">
        <v>1411</v>
      </c>
      <c r="D94" t="s">
        <v>1422</v>
      </c>
      <c r="E94" t="s">
        <v>191</v>
      </c>
      <c r="F94" t="s">
        <v>1386</v>
      </c>
      <c r="G94">
        <v>1.4</v>
      </c>
    </row>
    <row r="95" spans="1:7">
      <c r="A95" t="s">
        <v>191</v>
      </c>
      <c r="B95" t="s">
        <v>1423</v>
      </c>
      <c r="C95" t="s">
        <v>1411</v>
      </c>
      <c r="D95" t="s">
        <v>1423</v>
      </c>
      <c r="E95" t="s">
        <v>191</v>
      </c>
      <c r="F95" t="s">
        <v>1386</v>
      </c>
      <c r="G95">
        <v>1.4</v>
      </c>
    </row>
    <row r="96" spans="1:7">
      <c r="A96" t="s">
        <v>191</v>
      </c>
      <c r="B96" t="s">
        <v>1424</v>
      </c>
      <c r="C96" t="s">
        <v>1411</v>
      </c>
      <c r="D96" t="s">
        <v>1424</v>
      </c>
      <c r="E96" t="s">
        <v>191</v>
      </c>
      <c r="F96" t="s">
        <v>1386</v>
      </c>
      <c r="G96">
        <v>1.4</v>
      </c>
    </row>
    <row r="97" spans="1:7">
      <c r="A97" t="s">
        <v>191</v>
      </c>
      <c r="B97" t="s">
        <v>1425</v>
      </c>
      <c r="C97" t="s">
        <v>1411</v>
      </c>
      <c r="D97" t="s">
        <v>1425</v>
      </c>
      <c r="E97" t="s">
        <v>191</v>
      </c>
      <c r="F97" t="s">
        <v>1386</v>
      </c>
      <c r="G97">
        <v>1.4</v>
      </c>
    </row>
    <row r="98" spans="1:7">
      <c r="A98" t="s">
        <v>191</v>
      </c>
      <c r="B98" t="s">
        <v>1426</v>
      </c>
      <c r="C98" t="s">
        <v>1411</v>
      </c>
      <c r="D98" t="s">
        <v>1426</v>
      </c>
      <c r="E98" t="s">
        <v>191</v>
      </c>
      <c r="F98" t="s">
        <v>1386</v>
      </c>
      <c r="G98">
        <v>1.4</v>
      </c>
    </row>
    <row r="99" spans="1:7">
      <c r="A99" t="s">
        <v>191</v>
      </c>
      <c r="B99" t="s">
        <v>1427</v>
      </c>
      <c r="C99" t="s">
        <v>1411</v>
      </c>
      <c r="D99" t="s">
        <v>1427</v>
      </c>
      <c r="E99" t="s">
        <v>191</v>
      </c>
      <c r="F99" t="s">
        <v>1386</v>
      </c>
      <c r="G99">
        <v>1.4</v>
      </c>
    </row>
    <row r="100" spans="1:7">
      <c r="A100" t="s">
        <v>191</v>
      </c>
      <c r="B100" t="s">
        <v>1428</v>
      </c>
      <c r="C100" t="s">
        <v>1411</v>
      </c>
      <c r="D100" t="s">
        <v>1428</v>
      </c>
      <c r="E100" t="s">
        <v>191</v>
      </c>
      <c r="F100" t="s">
        <v>1386</v>
      </c>
      <c r="G100">
        <v>1.4</v>
      </c>
    </row>
    <row r="101" spans="1:7">
      <c r="A101" t="s">
        <v>191</v>
      </c>
      <c r="B101" t="s">
        <v>1429</v>
      </c>
      <c r="C101" t="s">
        <v>1411</v>
      </c>
      <c r="D101" t="s">
        <v>1429</v>
      </c>
      <c r="E101" t="s">
        <v>191</v>
      </c>
      <c r="F101" t="s">
        <v>1386</v>
      </c>
      <c r="G101">
        <v>1.4</v>
      </c>
    </row>
    <row r="102" spans="1:7">
      <c r="A102" t="s">
        <v>191</v>
      </c>
      <c r="B102" t="s">
        <v>1430</v>
      </c>
      <c r="C102" t="s">
        <v>1411</v>
      </c>
      <c r="D102" t="s">
        <v>1430</v>
      </c>
      <c r="E102" t="s">
        <v>191</v>
      </c>
      <c r="F102" t="s">
        <v>1386</v>
      </c>
      <c r="G102">
        <v>1.4</v>
      </c>
    </row>
    <row r="103" spans="1:7">
      <c r="A103" t="s">
        <v>191</v>
      </c>
      <c r="B103" t="s">
        <v>1431</v>
      </c>
      <c r="C103" t="s">
        <v>1411</v>
      </c>
      <c r="D103" t="s">
        <v>1431</v>
      </c>
      <c r="E103" t="s">
        <v>191</v>
      </c>
      <c r="F103" t="s">
        <v>1386</v>
      </c>
      <c r="G103">
        <v>1.4</v>
      </c>
    </row>
    <row r="104" spans="1:7">
      <c r="A104" t="s">
        <v>191</v>
      </c>
      <c r="B104" t="s">
        <v>1432</v>
      </c>
      <c r="C104" t="s">
        <v>1411</v>
      </c>
      <c r="D104" t="s">
        <v>1432</v>
      </c>
      <c r="E104" t="s">
        <v>191</v>
      </c>
      <c r="F104" t="s">
        <v>1386</v>
      </c>
      <c r="G104">
        <v>1.4</v>
      </c>
    </row>
    <row r="105" spans="1:7">
      <c r="A105" t="s">
        <v>191</v>
      </c>
      <c r="B105" t="s">
        <v>1433</v>
      </c>
      <c r="C105" t="s">
        <v>1411</v>
      </c>
      <c r="D105" t="s">
        <v>1433</v>
      </c>
      <c r="E105" t="s">
        <v>191</v>
      </c>
      <c r="F105" t="s">
        <v>1386</v>
      </c>
      <c r="G105">
        <v>1.4</v>
      </c>
    </row>
    <row r="106" spans="1:7">
      <c r="A106" t="s">
        <v>191</v>
      </c>
      <c r="B106" t="s">
        <v>1434</v>
      </c>
      <c r="C106" t="s">
        <v>1411</v>
      </c>
      <c r="D106" t="s">
        <v>1434</v>
      </c>
      <c r="E106" t="s">
        <v>191</v>
      </c>
      <c r="F106" t="s">
        <v>1386</v>
      </c>
      <c r="G106">
        <v>1.4</v>
      </c>
    </row>
    <row r="107" spans="1:7">
      <c r="A107" t="s">
        <v>191</v>
      </c>
      <c r="B107" t="s">
        <v>1435</v>
      </c>
      <c r="C107" t="s">
        <v>1411</v>
      </c>
      <c r="D107" t="s">
        <v>1435</v>
      </c>
      <c r="E107" t="s">
        <v>191</v>
      </c>
      <c r="F107" t="s">
        <v>1386</v>
      </c>
      <c r="G107">
        <v>1.4</v>
      </c>
    </row>
    <row r="108" spans="1:7">
      <c r="A108" t="s">
        <v>191</v>
      </c>
      <c r="B108" t="s">
        <v>1436</v>
      </c>
      <c r="C108" t="s">
        <v>1411</v>
      </c>
      <c r="D108" t="s">
        <v>1436</v>
      </c>
      <c r="E108" t="s">
        <v>191</v>
      </c>
      <c r="F108" t="s">
        <v>1386</v>
      </c>
      <c r="G108">
        <v>1.4</v>
      </c>
    </row>
    <row r="109" spans="1:7">
      <c r="A109" t="s">
        <v>191</v>
      </c>
      <c r="B109" t="s">
        <v>1437</v>
      </c>
      <c r="C109" t="s">
        <v>1411</v>
      </c>
      <c r="D109" t="s">
        <v>1437</v>
      </c>
      <c r="E109" t="s">
        <v>191</v>
      </c>
      <c r="F109" t="s">
        <v>1386</v>
      </c>
      <c r="G109">
        <v>1.4</v>
      </c>
    </row>
    <row r="110" spans="1:7">
      <c r="A110" t="s">
        <v>191</v>
      </c>
      <c r="B110" t="s">
        <v>1438</v>
      </c>
      <c r="C110" t="s">
        <v>1411</v>
      </c>
      <c r="D110" t="s">
        <v>1438</v>
      </c>
      <c r="E110" t="s">
        <v>191</v>
      </c>
      <c r="F110" t="s">
        <v>1386</v>
      </c>
      <c r="G110">
        <v>1.4</v>
      </c>
    </row>
    <row r="111" spans="1:7">
      <c r="A111" t="s">
        <v>191</v>
      </c>
      <c r="B111" t="s">
        <v>1439</v>
      </c>
      <c r="C111" t="s">
        <v>1411</v>
      </c>
      <c r="D111" t="s">
        <v>1439</v>
      </c>
      <c r="E111" t="s">
        <v>191</v>
      </c>
      <c r="F111" t="s">
        <v>1386</v>
      </c>
      <c r="G111">
        <v>1.4</v>
      </c>
    </row>
    <row r="112" spans="1:7">
      <c r="A112" t="s">
        <v>191</v>
      </c>
      <c r="B112" t="s">
        <v>1440</v>
      </c>
      <c r="C112" t="s">
        <v>1411</v>
      </c>
      <c r="D112" t="s">
        <v>1440</v>
      </c>
      <c r="E112" t="s">
        <v>191</v>
      </c>
      <c r="F112" t="s">
        <v>1386</v>
      </c>
      <c r="G112">
        <v>1.4</v>
      </c>
    </row>
    <row r="113" spans="1:7">
      <c r="A113" t="s">
        <v>191</v>
      </c>
      <c r="B113" t="s">
        <v>1441</v>
      </c>
      <c r="C113" t="s">
        <v>1411</v>
      </c>
      <c r="D113" t="s">
        <v>1441</v>
      </c>
      <c r="E113" t="s">
        <v>191</v>
      </c>
      <c r="F113" t="s">
        <v>1386</v>
      </c>
      <c r="G113">
        <v>1.4</v>
      </c>
    </row>
    <row r="114" spans="1:7">
      <c r="A114" t="s">
        <v>191</v>
      </c>
      <c r="B114" t="s">
        <v>1442</v>
      </c>
      <c r="C114" t="s">
        <v>1411</v>
      </c>
      <c r="D114" t="s">
        <v>1442</v>
      </c>
      <c r="E114" t="s">
        <v>191</v>
      </c>
      <c r="F114" t="s">
        <v>1386</v>
      </c>
      <c r="G114">
        <v>1.4</v>
      </c>
    </row>
    <row r="115" spans="1:7">
      <c r="A115" t="s">
        <v>191</v>
      </c>
      <c r="B115" t="s">
        <v>1443</v>
      </c>
      <c r="C115" t="s">
        <v>1411</v>
      </c>
      <c r="D115" t="s">
        <v>1443</v>
      </c>
      <c r="E115" t="s">
        <v>191</v>
      </c>
      <c r="F115" t="s">
        <v>1386</v>
      </c>
      <c r="G115">
        <v>1.4</v>
      </c>
    </row>
    <row r="116" spans="1:7">
      <c r="A116" t="s">
        <v>191</v>
      </c>
      <c r="B116" t="s">
        <v>1444</v>
      </c>
      <c r="C116" t="s">
        <v>1411</v>
      </c>
      <c r="D116" t="s">
        <v>1444</v>
      </c>
      <c r="E116" t="s">
        <v>191</v>
      </c>
      <c r="F116" t="s">
        <v>1386</v>
      </c>
      <c r="G116">
        <v>1.4</v>
      </c>
    </row>
    <row r="117" spans="1:7">
      <c r="A117" t="s">
        <v>191</v>
      </c>
      <c r="B117" t="s">
        <v>1445</v>
      </c>
      <c r="C117" t="s">
        <v>1411</v>
      </c>
      <c r="D117" t="s">
        <v>1445</v>
      </c>
      <c r="E117" t="s">
        <v>191</v>
      </c>
      <c r="F117" t="s">
        <v>1386</v>
      </c>
      <c r="G117">
        <v>1.4</v>
      </c>
    </row>
    <row r="118" spans="1:7">
      <c r="A118" t="s">
        <v>191</v>
      </c>
      <c r="B118" t="s">
        <v>1446</v>
      </c>
      <c r="C118" t="s">
        <v>1411</v>
      </c>
      <c r="D118" t="s">
        <v>1446</v>
      </c>
      <c r="E118" t="s">
        <v>191</v>
      </c>
      <c r="F118" t="s">
        <v>1386</v>
      </c>
      <c r="G118">
        <v>1.4</v>
      </c>
    </row>
    <row r="119" spans="1:7">
      <c r="A119" t="s">
        <v>191</v>
      </c>
      <c r="B119" t="s">
        <v>1447</v>
      </c>
      <c r="C119" t="s">
        <v>1411</v>
      </c>
      <c r="D119" t="s">
        <v>1447</v>
      </c>
      <c r="E119" t="s">
        <v>191</v>
      </c>
      <c r="F119" t="s">
        <v>1386</v>
      </c>
      <c r="G119">
        <v>1.4</v>
      </c>
    </row>
    <row r="120" spans="1:7">
      <c r="A120" t="s">
        <v>191</v>
      </c>
      <c r="B120" t="s">
        <v>1448</v>
      </c>
      <c r="C120" t="s">
        <v>1411</v>
      </c>
      <c r="D120" t="s">
        <v>1448</v>
      </c>
      <c r="E120" t="s">
        <v>191</v>
      </c>
      <c r="F120" t="s">
        <v>1386</v>
      </c>
      <c r="G120">
        <v>1.4</v>
      </c>
    </row>
    <row r="121" spans="1:7">
      <c r="A121" t="s">
        <v>191</v>
      </c>
      <c r="B121" t="s">
        <v>1449</v>
      </c>
      <c r="C121" t="s">
        <v>1411</v>
      </c>
      <c r="D121" t="s">
        <v>1449</v>
      </c>
      <c r="E121" t="s">
        <v>191</v>
      </c>
      <c r="F121" t="s">
        <v>1386</v>
      </c>
      <c r="G121">
        <v>1.4</v>
      </c>
    </row>
    <row r="122" spans="1:7">
      <c r="A122" t="s">
        <v>191</v>
      </c>
      <c r="B122" t="s">
        <v>1450</v>
      </c>
      <c r="C122" t="s">
        <v>1411</v>
      </c>
      <c r="D122" t="s">
        <v>1450</v>
      </c>
      <c r="E122" t="s">
        <v>191</v>
      </c>
      <c r="F122" t="s">
        <v>1386</v>
      </c>
      <c r="G122">
        <v>1.4</v>
      </c>
    </row>
    <row r="123" spans="1:7">
      <c r="A123" t="s">
        <v>191</v>
      </c>
      <c r="B123" t="s">
        <v>1451</v>
      </c>
      <c r="C123" t="s">
        <v>1411</v>
      </c>
      <c r="D123" t="s">
        <v>1451</v>
      </c>
      <c r="E123" t="s">
        <v>191</v>
      </c>
      <c r="F123" t="s">
        <v>1386</v>
      </c>
      <c r="G123">
        <v>1.4</v>
      </c>
    </row>
    <row r="124" spans="1:7">
      <c r="A124" t="s">
        <v>191</v>
      </c>
      <c r="B124" t="s">
        <v>1452</v>
      </c>
      <c r="C124" t="s">
        <v>1411</v>
      </c>
      <c r="D124" t="s">
        <v>1452</v>
      </c>
      <c r="E124" t="s">
        <v>191</v>
      </c>
      <c r="F124" t="s">
        <v>1386</v>
      </c>
      <c r="G124">
        <v>1.4</v>
      </c>
    </row>
    <row r="125" spans="1:7">
      <c r="A125" t="s">
        <v>191</v>
      </c>
      <c r="B125" t="s">
        <v>1453</v>
      </c>
      <c r="C125" t="s">
        <v>1411</v>
      </c>
      <c r="D125" t="s">
        <v>1453</v>
      </c>
      <c r="E125" t="s">
        <v>191</v>
      </c>
      <c r="F125" t="s">
        <v>1386</v>
      </c>
      <c r="G125">
        <v>1.4</v>
      </c>
    </row>
    <row r="126" spans="1:7">
      <c r="A126" t="s">
        <v>191</v>
      </c>
      <c r="B126" t="s">
        <v>1454</v>
      </c>
      <c r="C126" t="s">
        <v>1411</v>
      </c>
      <c r="D126" t="s">
        <v>1454</v>
      </c>
      <c r="E126" t="s">
        <v>191</v>
      </c>
      <c r="F126" t="s">
        <v>1386</v>
      </c>
      <c r="G126">
        <v>1.4</v>
      </c>
    </row>
    <row r="127" spans="1:7">
      <c r="A127" t="s">
        <v>191</v>
      </c>
      <c r="B127" t="s">
        <v>1455</v>
      </c>
      <c r="C127" t="s">
        <v>1411</v>
      </c>
      <c r="D127" t="s">
        <v>1455</v>
      </c>
      <c r="E127" t="s">
        <v>191</v>
      </c>
      <c r="F127" t="s">
        <v>1386</v>
      </c>
      <c r="G127">
        <v>1.4</v>
      </c>
    </row>
    <row r="128" spans="1:7">
      <c r="A128" t="s">
        <v>191</v>
      </c>
      <c r="B128" t="s">
        <v>1456</v>
      </c>
      <c r="C128" t="s">
        <v>1411</v>
      </c>
      <c r="D128" t="s">
        <v>1456</v>
      </c>
      <c r="E128" t="s">
        <v>191</v>
      </c>
      <c r="F128" t="s">
        <v>1386</v>
      </c>
      <c r="G128">
        <v>1.4</v>
      </c>
    </row>
    <row r="129" spans="1:7">
      <c r="A129" t="s">
        <v>191</v>
      </c>
      <c r="B129" t="s">
        <v>1457</v>
      </c>
      <c r="C129" t="s">
        <v>1411</v>
      </c>
      <c r="D129" t="s">
        <v>1457</v>
      </c>
      <c r="E129" t="s">
        <v>191</v>
      </c>
      <c r="F129" t="s">
        <v>1386</v>
      </c>
      <c r="G129">
        <v>1.4</v>
      </c>
    </row>
    <row r="130" spans="1:7">
      <c r="A130" t="s">
        <v>191</v>
      </c>
      <c r="B130" t="s">
        <v>1458</v>
      </c>
      <c r="C130" t="s">
        <v>1411</v>
      </c>
      <c r="D130" t="s">
        <v>1458</v>
      </c>
      <c r="E130" t="s">
        <v>191</v>
      </c>
      <c r="F130" t="s">
        <v>1386</v>
      </c>
      <c r="G130">
        <v>1.4</v>
      </c>
    </row>
    <row r="131" spans="1:7">
      <c r="A131" t="s">
        <v>191</v>
      </c>
      <c r="B131" t="s">
        <v>1459</v>
      </c>
      <c r="C131" t="s">
        <v>1411</v>
      </c>
      <c r="D131" t="s">
        <v>1459</v>
      </c>
      <c r="E131" t="s">
        <v>191</v>
      </c>
      <c r="F131" t="s">
        <v>1386</v>
      </c>
      <c r="G131">
        <v>1.4</v>
      </c>
    </row>
    <row r="132" spans="1:7">
      <c r="A132" t="s">
        <v>191</v>
      </c>
      <c r="B132" t="s">
        <v>1460</v>
      </c>
      <c r="C132" t="s">
        <v>1411</v>
      </c>
      <c r="D132" t="s">
        <v>1460</v>
      </c>
      <c r="E132" t="s">
        <v>191</v>
      </c>
      <c r="F132" t="s">
        <v>1386</v>
      </c>
      <c r="G132">
        <v>1.4</v>
      </c>
    </row>
    <row r="133" spans="1:7">
      <c r="A133" t="s">
        <v>191</v>
      </c>
      <c r="B133" t="s">
        <v>1461</v>
      </c>
      <c r="C133" t="s">
        <v>1411</v>
      </c>
      <c r="D133" t="s">
        <v>1461</v>
      </c>
      <c r="E133" t="s">
        <v>191</v>
      </c>
      <c r="F133" t="s">
        <v>1386</v>
      </c>
      <c r="G133">
        <v>1.4</v>
      </c>
    </row>
    <row r="134" spans="1:7">
      <c r="A134" t="s">
        <v>191</v>
      </c>
      <c r="B134" t="s">
        <v>1462</v>
      </c>
      <c r="C134" t="s">
        <v>1411</v>
      </c>
      <c r="D134" t="s">
        <v>1462</v>
      </c>
      <c r="E134" t="s">
        <v>191</v>
      </c>
      <c r="F134" t="s">
        <v>1386</v>
      </c>
      <c r="G134">
        <v>1.4</v>
      </c>
    </row>
    <row r="135" spans="1:7">
      <c r="A135" t="s">
        <v>191</v>
      </c>
      <c r="B135" t="s">
        <v>1463</v>
      </c>
      <c r="C135" t="s">
        <v>1411</v>
      </c>
      <c r="D135" t="s">
        <v>1463</v>
      </c>
      <c r="E135" t="s">
        <v>191</v>
      </c>
      <c r="F135" t="s">
        <v>1386</v>
      </c>
      <c r="G135">
        <v>1.4</v>
      </c>
    </row>
    <row r="136" spans="1:7">
      <c r="A136" t="s">
        <v>191</v>
      </c>
      <c r="B136" t="s">
        <v>1464</v>
      </c>
      <c r="C136" t="s">
        <v>1411</v>
      </c>
      <c r="D136" t="s">
        <v>1464</v>
      </c>
      <c r="E136" t="s">
        <v>191</v>
      </c>
      <c r="F136" t="s">
        <v>1386</v>
      </c>
      <c r="G136">
        <v>1.4</v>
      </c>
    </row>
    <row r="137" spans="1:7">
      <c r="A137" t="s">
        <v>191</v>
      </c>
      <c r="B137" t="s">
        <v>1465</v>
      </c>
      <c r="C137" t="s">
        <v>1411</v>
      </c>
      <c r="D137" t="s">
        <v>1465</v>
      </c>
      <c r="E137" t="s">
        <v>191</v>
      </c>
      <c r="F137" t="s">
        <v>1386</v>
      </c>
      <c r="G137">
        <v>1.4</v>
      </c>
    </row>
    <row r="138" spans="1:7">
      <c r="A138" t="s">
        <v>191</v>
      </c>
      <c r="B138" t="s">
        <v>1466</v>
      </c>
      <c r="C138" t="s">
        <v>1411</v>
      </c>
      <c r="D138" t="s">
        <v>1466</v>
      </c>
      <c r="E138" t="s">
        <v>191</v>
      </c>
      <c r="F138" t="s">
        <v>1386</v>
      </c>
      <c r="G138">
        <v>1.4</v>
      </c>
    </row>
    <row r="139" spans="1:7">
      <c r="A139" t="s">
        <v>191</v>
      </c>
      <c r="B139" t="s">
        <v>1467</v>
      </c>
      <c r="C139" t="s">
        <v>1411</v>
      </c>
      <c r="D139" t="s">
        <v>1467</v>
      </c>
      <c r="E139" t="s">
        <v>191</v>
      </c>
      <c r="F139" t="s">
        <v>1386</v>
      </c>
      <c r="G139">
        <v>1.4</v>
      </c>
    </row>
    <row r="140" spans="1:7">
      <c r="A140" t="s">
        <v>191</v>
      </c>
      <c r="B140" t="s">
        <v>1468</v>
      </c>
      <c r="C140" t="s">
        <v>1411</v>
      </c>
      <c r="D140" t="s">
        <v>1468</v>
      </c>
      <c r="E140" t="s">
        <v>191</v>
      </c>
      <c r="F140" t="s">
        <v>1386</v>
      </c>
      <c r="G140">
        <v>1.4</v>
      </c>
    </row>
    <row r="141" spans="1:7">
      <c r="A141" t="s">
        <v>191</v>
      </c>
      <c r="B141" t="s">
        <v>1469</v>
      </c>
      <c r="C141" t="s">
        <v>1411</v>
      </c>
      <c r="D141" t="s">
        <v>1469</v>
      </c>
      <c r="E141" t="s">
        <v>191</v>
      </c>
      <c r="F141" t="s">
        <v>1386</v>
      </c>
      <c r="G141">
        <v>1.4</v>
      </c>
    </row>
    <row r="142" spans="1:7">
      <c r="A142" t="s">
        <v>191</v>
      </c>
      <c r="B142" t="s">
        <v>1470</v>
      </c>
      <c r="C142" t="s">
        <v>1411</v>
      </c>
      <c r="D142" t="s">
        <v>1470</v>
      </c>
      <c r="E142" t="s">
        <v>191</v>
      </c>
      <c r="F142" t="s">
        <v>1386</v>
      </c>
      <c r="G142">
        <v>1.4</v>
      </c>
    </row>
    <row r="143" spans="1:7">
      <c r="A143" t="s">
        <v>191</v>
      </c>
      <c r="B143" t="s">
        <v>1471</v>
      </c>
      <c r="C143" t="s">
        <v>1411</v>
      </c>
      <c r="D143" t="s">
        <v>1471</v>
      </c>
      <c r="E143" t="s">
        <v>191</v>
      </c>
      <c r="F143" t="s">
        <v>1386</v>
      </c>
      <c r="G143">
        <v>1.4</v>
      </c>
    </row>
    <row r="144" spans="1:7">
      <c r="A144" t="s">
        <v>191</v>
      </c>
      <c r="B144" t="s">
        <v>1472</v>
      </c>
      <c r="C144" t="s">
        <v>1411</v>
      </c>
      <c r="D144" t="s">
        <v>1472</v>
      </c>
      <c r="E144" t="s">
        <v>191</v>
      </c>
      <c r="F144" t="s">
        <v>1386</v>
      </c>
      <c r="G144">
        <v>1.4</v>
      </c>
    </row>
    <row r="145" spans="1:7">
      <c r="A145" t="s">
        <v>191</v>
      </c>
      <c r="B145" t="s">
        <v>1473</v>
      </c>
      <c r="C145" t="s">
        <v>1411</v>
      </c>
      <c r="D145" t="s">
        <v>1473</v>
      </c>
      <c r="E145" t="s">
        <v>191</v>
      </c>
      <c r="F145" t="s">
        <v>1386</v>
      </c>
      <c r="G145">
        <v>1.4</v>
      </c>
    </row>
    <row r="146" spans="1:7">
      <c r="A146" t="s">
        <v>191</v>
      </c>
      <c r="B146" t="s">
        <v>1474</v>
      </c>
      <c r="C146" t="s">
        <v>1411</v>
      </c>
      <c r="D146" t="s">
        <v>1474</v>
      </c>
      <c r="E146" t="s">
        <v>191</v>
      </c>
      <c r="F146" t="s">
        <v>1386</v>
      </c>
      <c r="G146">
        <v>1.4</v>
      </c>
    </row>
    <row r="147" spans="1:7">
      <c r="A147" t="s">
        <v>191</v>
      </c>
      <c r="B147" t="s">
        <v>757</v>
      </c>
      <c r="C147" t="s">
        <v>1411</v>
      </c>
      <c r="D147" t="s">
        <v>1475</v>
      </c>
      <c r="E147" t="s">
        <v>191</v>
      </c>
      <c r="F147" t="s">
        <v>1386</v>
      </c>
      <c r="G147">
        <v>1.4</v>
      </c>
    </row>
    <row r="148" spans="1:7">
      <c r="A148" t="s">
        <v>191</v>
      </c>
      <c r="B148" t="s">
        <v>758</v>
      </c>
      <c r="C148" t="s">
        <v>1411</v>
      </c>
      <c r="D148" t="s">
        <v>1476</v>
      </c>
      <c r="E148" t="s">
        <v>191</v>
      </c>
      <c r="F148" t="s">
        <v>1386</v>
      </c>
      <c r="G148">
        <v>1.4</v>
      </c>
    </row>
    <row r="149" spans="1:7">
      <c r="A149" t="s">
        <v>191</v>
      </c>
      <c r="B149" t="s">
        <v>759</v>
      </c>
      <c r="C149" t="s">
        <v>1411</v>
      </c>
      <c r="D149" t="s">
        <v>1477</v>
      </c>
      <c r="E149" t="s">
        <v>191</v>
      </c>
      <c r="F149" t="s">
        <v>1386</v>
      </c>
      <c r="G149">
        <v>1.4</v>
      </c>
    </row>
    <row r="150" spans="1:7">
      <c r="A150" t="s">
        <v>191</v>
      </c>
      <c r="B150" t="s">
        <v>775</v>
      </c>
      <c r="C150" t="s">
        <v>1411</v>
      </c>
      <c r="D150" t="s">
        <v>1478</v>
      </c>
      <c r="E150" t="s">
        <v>191</v>
      </c>
      <c r="F150" t="s">
        <v>1386</v>
      </c>
      <c r="G150">
        <v>1.4</v>
      </c>
    </row>
    <row r="151" spans="1:7">
      <c r="A151" t="s">
        <v>191</v>
      </c>
      <c r="B151" t="s">
        <v>776</v>
      </c>
      <c r="C151" t="s">
        <v>1411</v>
      </c>
      <c r="D151" t="s">
        <v>1479</v>
      </c>
      <c r="E151" t="s">
        <v>191</v>
      </c>
      <c r="F151" t="s">
        <v>1386</v>
      </c>
      <c r="G151">
        <v>1.4</v>
      </c>
    </row>
    <row r="152" spans="1:7">
      <c r="A152" t="s">
        <v>191</v>
      </c>
      <c r="B152" t="s">
        <v>800</v>
      </c>
      <c r="C152" t="s">
        <v>1411</v>
      </c>
      <c r="D152" t="s">
        <v>1480</v>
      </c>
      <c r="E152" t="s">
        <v>191</v>
      </c>
      <c r="F152" t="s">
        <v>1386</v>
      </c>
      <c r="G152">
        <v>1.4</v>
      </c>
    </row>
    <row r="153" spans="1:7">
      <c r="A153" t="s">
        <v>191</v>
      </c>
      <c r="B153" t="s">
        <v>801</v>
      </c>
      <c r="C153" t="s">
        <v>1411</v>
      </c>
      <c r="D153" t="s">
        <v>1481</v>
      </c>
      <c r="E153" t="s">
        <v>191</v>
      </c>
      <c r="F153" t="s">
        <v>1386</v>
      </c>
      <c r="G153">
        <v>1.4</v>
      </c>
    </row>
    <row r="154" spans="1:7">
      <c r="A154" t="s">
        <v>191</v>
      </c>
      <c r="B154" t="s">
        <v>802</v>
      </c>
      <c r="C154" t="s">
        <v>1411</v>
      </c>
      <c r="D154" t="s">
        <v>1482</v>
      </c>
      <c r="E154" t="s">
        <v>191</v>
      </c>
      <c r="F154" t="s">
        <v>1386</v>
      </c>
      <c r="G154">
        <v>1.4</v>
      </c>
    </row>
    <row r="155" spans="1:7">
      <c r="A155" t="s">
        <v>191</v>
      </c>
      <c r="B155" t="s">
        <v>803</v>
      </c>
      <c r="C155" t="s">
        <v>1411</v>
      </c>
      <c r="D155" t="s">
        <v>1483</v>
      </c>
      <c r="E155" t="s">
        <v>191</v>
      </c>
      <c r="F155" t="s">
        <v>1386</v>
      </c>
      <c r="G155">
        <v>1.4</v>
      </c>
    </row>
    <row r="156" spans="1:7">
      <c r="A156" t="s">
        <v>191</v>
      </c>
      <c r="B156" t="s">
        <v>804</v>
      </c>
      <c r="C156" t="s">
        <v>1411</v>
      </c>
      <c r="D156" t="s">
        <v>1484</v>
      </c>
      <c r="E156" t="s">
        <v>191</v>
      </c>
      <c r="F156" t="s">
        <v>1386</v>
      </c>
      <c r="G156">
        <v>1.4</v>
      </c>
    </row>
    <row r="157" spans="1:7">
      <c r="A157" t="s">
        <v>191</v>
      </c>
      <c r="B157" t="s">
        <v>805</v>
      </c>
      <c r="C157" t="s">
        <v>1411</v>
      </c>
      <c r="D157" t="s">
        <v>1485</v>
      </c>
      <c r="E157" t="s">
        <v>191</v>
      </c>
      <c r="F157" t="s">
        <v>1386</v>
      </c>
      <c r="G157">
        <v>1.4</v>
      </c>
    </row>
    <row r="158" spans="1:7">
      <c r="A158" t="s">
        <v>191</v>
      </c>
      <c r="B158" t="s">
        <v>806</v>
      </c>
      <c r="C158" t="s">
        <v>1411</v>
      </c>
      <c r="D158" t="s">
        <v>1486</v>
      </c>
      <c r="E158" t="s">
        <v>191</v>
      </c>
      <c r="F158" t="s">
        <v>1386</v>
      </c>
      <c r="G158">
        <v>1.4</v>
      </c>
    </row>
    <row r="159" spans="1:7">
      <c r="A159" t="s">
        <v>191</v>
      </c>
      <c r="B159" t="s">
        <v>807</v>
      </c>
      <c r="C159" t="s">
        <v>1411</v>
      </c>
      <c r="D159" t="s">
        <v>1487</v>
      </c>
      <c r="E159" t="s">
        <v>191</v>
      </c>
      <c r="F159" t="s">
        <v>1386</v>
      </c>
      <c r="G159">
        <v>1.4</v>
      </c>
    </row>
    <row r="160" spans="1:7">
      <c r="A160" t="s">
        <v>191</v>
      </c>
      <c r="B160" t="s">
        <v>808</v>
      </c>
      <c r="C160" t="s">
        <v>1411</v>
      </c>
      <c r="D160" t="s">
        <v>1488</v>
      </c>
      <c r="E160" t="s">
        <v>191</v>
      </c>
      <c r="F160" t="s">
        <v>1386</v>
      </c>
      <c r="G160">
        <v>1.4</v>
      </c>
    </row>
    <row r="161" spans="1:7">
      <c r="A161" t="s">
        <v>191</v>
      </c>
      <c r="B161" t="s">
        <v>809</v>
      </c>
      <c r="C161" t="s">
        <v>1411</v>
      </c>
      <c r="D161" t="s">
        <v>1489</v>
      </c>
      <c r="E161" t="s">
        <v>191</v>
      </c>
      <c r="F161" t="s">
        <v>1386</v>
      </c>
      <c r="G161">
        <v>1.4</v>
      </c>
    </row>
    <row r="162" spans="1:7">
      <c r="A162" t="s">
        <v>191</v>
      </c>
      <c r="B162" t="s">
        <v>810</v>
      </c>
      <c r="C162" t="s">
        <v>1411</v>
      </c>
      <c r="D162" t="s">
        <v>1490</v>
      </c>
      <c r="E162" t="s">
        <v>191</v>
      </c>
      <c r="F162" t="s">
        <v>1386</v>
      </c>
      <c r="G162">
        <v>1.4</v>
      </c>
    </row>
    <row r="163" spans="1:7">
      <c r="A163" t="s">
        <v>191</v>
      </c>
      <c r="B163" t="s">
        <v>811</v>
      </c>
      <c r="C163" t="s">
        <v>1411</v>
      </c>
      <c r="D163" t="s">
        <v>1491</v>
      </c>
      <c r="E163" t="s">
        <v>191</v>
      </c>
      <c r="F163" t="s">
        <v>1386</v>
      </c>
      <c r="G163">
        <v>1.4</v>
      </c>
    </row>
    <row r="164" spans="1:7">
      <c r="A164" t="s">
        <v>191</v>
      </c>
      <c r="B164" t="s">
        <v>812</v>
      </c>
      <c r="C164" t="s">
        <v>1411</v>
      </c>
      <c r="D164" t="s">
        <v>1492</v>
      </c>
      <c r="E164" t="s">
        <v>191</v>
      </c>
      <c r="F164" t="s">
        <v>1386</v>
      </c>
      <c r="G164">
        <v>1.4</v>
      </c>
    </row>
    <row r="165" spans="1:7">
      <c r="A165" t="s">
        <v>191</v>
      </c>
      <c r="B165" t="s">
        <v>813</v>
      </c>
      <c r="C165" t="s">
        <v>1411</v>
      </c>
      <c r="D165" t="s">
        <v>1493</v>
      </c>
      <c r="E165" t="s">
        <v>191</v>
      </c>
      <c r="F165" t="s">
        <v>1386</v>
      </c>
      <c r="G165">
        <v>1.4</v>
      </c>
    </row>
    <row r="166" spans="1:7">
      <c r="A166" t="s">
        <v>191</v>
      </c>
      <c r="B166" t="s">
        <v>746</v>
      </c>
      <c r="C166" t="s">
        <v>1411</v>
      </c>
      <c r="D166" t="s">
        <v>1494</v>
      </c>
      <c r="E166" t="s">
        <v>191</v>
      </c>
      <c r="F166" t="s">
        <v>1386</v>
      </c>
      <c r="G166">
        <v>1.4</v>
      </c>
    </row>
    <row r="167" spans="1:7">
      <c r="A167" t="s">
        <v>191</v>
      </c>
      <c r="B167" t="s">
        <v>777</v>
      </c>
      <c r="C167" t="s">
        <v>1411</v>
      </c>
      <c r="D167" t="s">
        <v>134</v>
      </c>
      <c r="E167" t="s">
        <v>191</v>
      </c>
      <c r="F167" t="s">
        <v>1386</v>
      </c>
      <c r="G167">
        <v>1.4</v>
      </c>
    </row>
    <row r="168" spans="1:7">
      <c r="A168" t="s">
        <v>191</v>
      </c>
      <c r="B168" t="s">
        <v>778</v>
      </c>
      <c r="C168" t="s">
        <v>1411</v>
      </c>
      <c r="D168" t="s">
        <v>1495</v>
      </c>
      <c r="E168" t="s">
        <v>191</v>
      </c>
      <c r="F168" t="s">
        <v>1386</v>
      </c>
      <c r="G168">
        <v>1.4</v>
      </c>
    </row>
    <row r="169" spans="1:7">
      <c r="A169" t="s">
        <v>191</v>
      </c>
      <c r="B169" t="s">
        <v>814</v>
      </c>
      <c r="C169" t="s">
        <v>1496</v>
      </c>
      <c r="D169" t="s">
        <v>1497</v>
      </c>
      <c r="E169" t="s">
        <v>191</v>
      </c>
      <c r="F169" t="s">
        <v>1386</v>
      </c>
      <c r="G169">
        <v>1.4</v>
      </c>
    </row>
    <row r="170" spans="1:7">
      <c r="A170" t="s">
        <v>191</v>
      </c>
      <c r="B170" t="s">
        <v>1498</v>
      </c>
      <c r="C170" t="s">
        <v>1499</v>
      </c>
      <c r="D170" t="s">
        <v>1497</v>
      </c>
      <c r="E170" t="s">
        <v>191</v>
      </c>
      <c r="F170" t="s">
        <v>1386</v>
      </c>
      <c r="G170">
        <v>1.4</v>
      </c>
    </row>
    <row r="171" spans="1:7">
      <c r="A171" t="s">
        <v>191</v>
      </c>
      <c r="B171" t="s">
        <v>815</v>
      </c>
      <c r="C171" t="s">
        <v>1411</v>
      </c>
      <c r="D171" t="s">
        <v>1500</v>
      </c>
      <c r="E171" t="s">
        <v>191</v>
      </c>
      <c r="F171" t="s">
        <v>1386</v>
      </c>
      <c r="G171">
        <v>1.4</v>
      </c>
    </row>
    <row r="172" spans="1:7">
      <c r="A172" t="s">
        <v>191</v>
      </c>
      <c r="B172" t="s">
        <v>816</v>
      </c>
      <c r="C172" t="s">
        <v>1411</v>
      </c>
      <c r="D172" t="s">
        <v>1501</v>
      </c>
      <c r="E172" t="s">
        <v>191</v>
      </c>
      <c r="F172" t="s">
        <v>1386</v>
      </c>
      <c r="G172">
        <v>1.4</v>
      </c>
    </row>
    <row r="173" spans="1:7">
      <c r="A173" t="s">
        <v>191</v>
      </c>
      <c r="B173" t="s">
        <v>817</v>
      </c>
      <c r="C173" t="s">
        <v>1411</v>
      </c>
      <c r="D173" t="s">
        <v>1502</v>
      </c>
      <c r="E173" t="s">
        <v>191</v>
      </c>
      <c r="F173" t="s">
        <v>1386</v>
      </c>
      <c r="G173">
        <v>1.4</v>
      </c>
    </row>
    <row r="174" spans="1:7">
      <c r="A174" t="s">
        <v>191</v>
      </c>
      <c r="B174" t="s">
        <v>818</v>
      </c>
      <c r="C174" t="s">
        <v>1411</v>
      </c>
      <c r="D174" t="s">
        <v>1503</v>
      </c>
      <c r="E174" t="s">
        <v>191</v>
      </c>
      <c r="F174" t="s">
        <v>1386</v>
      </c>
      <c r="G174">
        <v>1.4</v>
      </c>
    </row>
    <row r="175" spans="1:7">
      <c r="A175" t="s">
        <v>191</v>
      </c>
      <c r="B175" t="s">
        <v>819</v>
      </c>
      <c r="C175" t="s">
        <v>1411</v>
      </c>
      <c r="D175" t="s">
        <v>1504</v>
      </c>
      <c r="E175" t="s">
        <v>191</v>
      </c>
      <c r="F175" t="s">
        <v>1386</v>
      </c>
      <c r="G175">
        <v>1.4</v>
      </c>
    </row>
    <row r="176" spans="1:7">
      <c r="A176" t="s">
        <v>191</v>
      </c>
      <c r="B176" t="s">
        <v>820</v>
      </c>
      <c r="C176" t="s">
        <v>1411</v>
      </c>
      <c r="D176" t="s">
        <v>1505</v>
      </c>
      <c r="E176" t="s">
        <v>191</v>
      </c>
      <c r="F176" t="s">
        <v>1386</v>
      </c>
      <c r="G176">
        <v>1.4</v>
      </c>
    </row>
    <row r="177" spans="1:7">
      <c r="A177" t="s">
        <v>191</v>
      </c>
      <c r="B177" t="s">
        <v>821</v>
      </c>
      <c r="C177" t="s">
        <v>1411</v>
      </c>
      <c r="D177" t="s">
        <v>1506</v>
      </c>
      <c r="E177" t="s">
        <v>191</v>
      </c>
      <c r="F177" t="s">
        <v>1386</v>
      </c>
      <c r="G177">
        <v>1.4</v>
      </c>
    </row>
    <row r="178" spans="1:7">
      <c r="A178" t="s">
        <v>191</v>
      </c>
      <c r="B178" t="s">
        <v>822</v>
      </c>
      <c r="C178" t="s">
        <v>1411</v>
      </c>
      <c r="D178" t="s">
        <v>1507</v>
      </c>
      <c r="E178" t="s">
        <v>191</v>
      </c>
      <c r="F178" t="s">
        <v>1386</v>
      </c>
      <c r="G178">
        <v>1.4</v>
      </c>
    </row>
    <row r="179" spans="1:7">
      <c r="A179" t="s">
        <v>191</v>
      </c>
      <c r="B179" t="s">
        <v>823</v>
      </c>
      <c r="C179" t="s">
        <v>1411</v>
      </c>
      <c r="D179" t="s">
        <v>1508</v>
      </c>
      <c r="E179" t="s">
        <v>191</v>
      </c>
      <c r="F179" t="s">
        <v>1386</v>
      </c>
      <c r="G179">
        <v>1.4</v>
      </c>
    </row>
    <row r="180" spans="1:7">
      <c r="A180" t="s">
        <v>191</v>
      </c>
      <c r="B180" t="s">
        <v>824</v>
      </c>
      <c r="C180" t="s">
        <v>1411</v>
      </c>
      <c r="D180" t="s">
        <v>1509</v>
      </c>
      <c r="E180" t="s">
        <v>191</v>
      </c>
      <c r="F180" t="s">
        <v>1386</v>
      </c>
      <c r="G180">
        <v>1.4</v>
      </c>
    </row>
    <row r="181" spans="1:7">
      <c r="A181" t="s">
        <v>191</v>
      </c>
      <c r="B181" t="s">
        <v>825</v>
      </c>
      <c r="C181" t="s">
        <v>1411</v>
      </c>
      <c r="D181" t="s">
        <v>1510</v>
      </c>
      <c r="E181" t="s">
        <v>191</v>
      </c>
      <c r="F181" t="s">
        <v>1386</v>
      </c>
      <c r="G181">
        <v>1.4</v>
      </c>
    </row>
    <row r="182" spans="1:7">
      <c r="A182" t="s">
        <v>191</v>
      </c>
      <c r="B182" t="s">
        <v>826</v>
      </c>
      <c r="C182" t="s">
        <v>1411</v>
      </c>
      <c r="D182" t="s">
        <v>1511</v>
      </c>
      <c r="E182" t="s">
        <v>191</v>
      </c>
      <c r="F182" t="s">
        <v>1386</v>
      </c>
      <c r="G182">
        <v>1.4</v>
      </c>
    </row>
    <row r="183" spans="1:7">
      <c r="A183" t="s">
        <v>191</v>
      </c>
      <c r="B183" t="s">
        <v>827</v>
      </c>
      <c r="C183" t="s">
        <v>1411</v>
      </c>
      <c r="D183" t="s">
        <v>1512</v>
      </c>
      <c r="E183" t="s">
        <v>191</v>
      </c>
      <c r="F183" t="s">
        <v>1386</v>
      </c>
      <c r="G183">
        <v>1.4</v>
      </c>
    </row>
    <row r="184" spans="1:7">
      <c r="A184" t="s">
        <v>191</v>
      </c>
      <c r="B184" t="s">
        <v>760</v>
      </c>
      <c r="C184" t="s">
        <v>1411</v>
      </c>
      <c r="D184" t="s">
        <v>1513</v>
      </c>
      <c r="E184" t="s">
        <v>191</v>
      </c>
      <c r="F184" t="s">
        <v>1386</v>
      </c>
      <c r="G184">
        <v>1.4</v>
      </c>
    </row>
    <row r="185" spans="1:7">
      <c r="A185" t="s">
        <v>191</v>
      </c>
      <c r="B185" t="s">
        <v>183</v>
      </c>
      <c r="C185" t="s">
        <v>1411</v>
      </c>
      <c r="D185" t="s">
        <v>1514</v>
      </c>
      <c r="E185" t="s">
        <v>191</v>
      </c>
      <c r="F185" t="s">
        <v>1386</v>
      </c>
      <c r="G185">
        <v>1.4</v>
      </c>
    </row>
    <row r="186" spans="1:7">
      <c r="A186" t="s">
        <v>191</v>
      </c>
      <c r="B186" t="s">
        <v>765</v>
      </c>
      <c r="C186" t="s">
        <v>1411</v>
      </c>
      <c r="D186" t="s">
        <v>1515</v>
      </c>
      <c r="E186" t="s">
        <v>191</v>
      </c>
      <c r="F186" t="s">
        <v>1386</v>
      </c>
      <c r="G186">
        <v>1.4</v>
      </c>
    </row>
    <row r="187" spans="1:7">
      <c r="A187" t="s">
        <v>191</v>
      </c>
      <c r="B187" t="s">
        <v>871</v>
      </c>
      <c r="C187" t="s">
        <v>1411</v>
      </c>
      <c r="D187" t="s">
        <v>1516</v>
      </c>
      <c r="E187" t="s">
        <v>191</v>
      </c>
      <c r="F187" t="s">
        <v>1386</v>
      </c>
      <c r="G187">
        <v>1.4</v>
      </c>
    </row>
    <row r="188" spans="1:7">
      <c r="A188" t="s">
        <v>191</v>
      </c>
      <c r="B188" t="s">
        <v>740</v>
      </c>
      <c r="C188" t="s">
        <v>1411</v>
      </c>
      <c r="D188" t="s">
        <v>1517</v>
      </c>
      <c r="E188" t="s">
        <v>191</v>
      </c>
      <c r="F188" t="s">
        <v>1386</v>
      </c>
      <c r="G188">
        <v>1.4</v>
      </c>
    </row>
    <row r="189" spans="1:7">
      <c r="A189" t="s">
        <v>191</v>
      </c>
      <c r="B189" t="s">
        <v>241</v>
      </c>
      <c r="C189" t="s">
        <v>1411</v>
      </c>
      <c r="D189" t="s">
        <v>1518</v>
      </c>
      <c r="E189" t="s">
        <v>191</v>
      </c>
      <c r="F189" t="s">
        <v>1386</v>
      </c>
      <c r="G189">
        <v>1.4</v>
      </c>
    </row>
    <row r="190" spans="1:7">
      <c r="A190" t="s">
        <v>191</v>
      </c>
      <c r="B190" t="s">
        <v>761</v>
      </c>
      <c r="C190" t="s">
        <v>1411</v>
      </c>
      <c r="D190" t="s">
        <v>1519</v>
      </c>
      <c r="E190" t="s">
        <v>191</v>
      </c>
      <c r="F190" t="s">
        <v>1386</v>
      </c>
      <c r="G190">
        <v>1.4</v>
      </c>
    </row>
    <row r="191" spans="1:7">
      <c r="A191" t="s">
        <v>191</v>
      </c>
      <c r="B191" t="s">
        <v>763</v>
      </c>
      <c r="C191" t="s">
        <v>1411</v>
      </c>
      <c r="D191" t="s">
        <v>1520</v>
      </c>
      <c r="E191" t="s">
        <v>191</v>
      </c>
      <c r="F191" t="s">
        <v>1386</v>
      </c>
      <c r="G191">
        <v>1.4</v>
      </c>
    </row>
    <row r="192" spans="1:7">
      <c r="A192" t="s">
        <v>191</v>
      </c>
      <c r="B192" t="s">
        <v>766</v>
      </c>
      <c r="C192" t="s">
        <v>1411</v>
      </c>
      <c r="D192" t="s">
        <v>1521</v>
      </c>
      <c r="E192" t="s">
        <v>191</v>
      </c>
      <c r="F192" t="s">
        <v>1386</v>
      </c>
      <c r="G192">
        <v>1.4</v>
      </c>
    </row>
    <row r="193" spans="1:7">
      <c r="A193" t="s">
        <v>191</v>
      </c>
      <c r="B193" t="s">
        <v>1522</v>
      </c>
      <c r="C193" t="s">
        <v>1411</v>
      </c>
      <c r="D193" t="s">
        <v>1523</v>
      </c>
      <c r="E193" t="s">
        <v>191</v>
      </c>
      <c r="F193" t="s">
        <v>1386</v>
      </c>
      <c r="G193">
        <v>1.4</v>
      </c>
    </row>
    <row r="194" spans="1:7">
      <c r="A194" t="s">
        <v>191</v>
      </c>
      <c r="B194" t="s">
        <v>1524</v>
      </c>
      <c r="C194" t="s">
        <v>1411</v>
      </c>
      <c r="D194" t="s">
        <v>1525</v>
      </c>
      <c r="E194" t="s">
        <v>191</v>
      </c>
      <c r="F194" t="s">
        <v>1386</v>
      </c>
      <c r="G194">
        <v>1.4</v>
      </c>
    </row>
    <row r="195" spans="1:7">
      <c r="A195" t="s">
        <v>191</v>
      </c>
      <c r="B195" t="s">
        <v>779</v>
      </c>
      <c r="C195" t="s">
        <v>1411</v>
      </c>
      <c r="D195" t="s">
        <v>1526</v>
      </c>
      <c r="E195" t="s">
        <v>191</v>
      </c>
      <c r="F195" t="s">
        <v>1386</v>
      </c>
      <c r="G195">
        <v>1.4</v>
      </c>
    </row>
    <row r="196" spans="1:7">
      <c r="A196" t="s">
        <v>191</v>
      </c>
      <c r="B196" t="s">
        <v>781</v>
      </c>
      <c r="C196" t="s">
        <v>1411</v>
      </c>
      <c r="D196" t="s">
        <v>1527</v>
      </c>
      <c r="E196" t="s">
        <v>191</v>
      </c>
      <c r="F196" t="s">
        <v>1386</v>
      </c>
      <c r="G196">
        <v>1.4</v>
      </c>
    </row>
    <row r="197" spans="1:7">
      <c r="A197" t="s">
        <v>191</v>
      </c>
      <c r="B197" t="s">
        <v>828</v>
      </c>
      <c r="C197" t="s">
        <v>1411</v>
      </c>
      <c r="D197" t="s">
        <v>1528</v>
      </c>
      <c r="E197" t="s">
        <v>191</v>
      </c>
      <c r="F197" t="s">
        <v>1386</v>
      </c>
      <c r="G197">
        <v>1.4</v>
      </c>
    </row>
    <row r="198" spans="1:7">
      <c r="A198" t="s">
        <v>191</v>
      </c>
      <c r="B198" t="s">
        <v>830</v>
      </c>
      <c r="C198" t="s">
        <v>1411</v>
      </c>
      <c r="D198" t="s">
        <v>1529</v>
      </c>
      <c r="E198" t="s">
        <v>191</v>
      </c>
      <c r="F198" t="s">
        <v>1386</v>
      </c>
      <c r="G198">
        <v>1.4</v>
      </c>
    </row>
    <row r="199" spans="1:7">
      <c r="A199" t="s">
        <v>191</v>
      </c>
      <c r="B199" t="s">
        <v>832</v>
      </c>
      <c r="C199" t="s">
        <v>1411</v>
      </c>
      <c r="D199" t="s">
        <v>1530</v>
      </c>
      <c r="E199" t="s">
        <v>191</v>
      </c>
      <c r="F199" t="s">
        <v>1386</v>
      </c>
      <c r="G199">
        <v>1.4</v>
      </c>
    </row>
    <row r="200" spans="1:7">
      <c r="A200" t="s">
        <v>191</v>
      </c>
      <c r="B200" t="s">
        <v>834</v>
      </c>
      <c r="C200" t="s">
        <v>1411</v>
      </c>
      <c r="D200" t="s">
        <v>1531</v>
      </c>
      <c r="E200" t="s">
        <v>191</v>
      </c>
      <c r="F200" t="s">
        <v>1386</v>
      </c>
      <c r="G200">
        <v>1.4</v>
      </c>
    </row>
    <row r="201" spans="1:7">
      <c r="A201" t="s">
        <v>191</v>
      </c>
      <c r="B201" t="s">
        <v>836</v>
      </c>
      <c r="C201" t="s">
        <v>1411</v>
      </c>
      <c r="D201" t="s">
        <v>1532</v>
      </c>
      <c r="E201" t="s">
        <v>191</v>
      </c>
      <c r="F201" t="s">
        <v>1386</v>
      </c>
      <c r="G201">
        <v>1.4</v>
      </c>
    </row>
    <row r="202" spans="1:7">
      <c r="A202" t="s">
        <v>191</v>
      </c>
      <c r="B202" t="s">
        <v>838</v>
      </c>
      <c r="C202" t="s">
        <v>1411</v>
      </c>
      <c r="D202" t="s">
        <v>1533</v>
      </c>
      <c r="E202" t="s">
        <v>191</v>
      </c>
      <c r="F202" t="s">
        <v>1386</v>
      </c>
      <c r="G202">
        <v>1.4</v>
      </c>
    </row>
    <row r="203" spans="1:7">
      <c r="A203" t="s">
        <v>191</v>
      </c>
      <c r="B203" t="s">
        <v>840</v>
      </c>
      <c r="C203" t="s">
        <v>1411</v>
      </c>
      <c r="D203" t="s">
        <v>1534</v>
      </c>
      <c r="E203" t="s">
        <v>191</v>
      </c>
      <c r="F203" t="s">
        <v>1386</v>
      </c>
      <c r="G203">
        <v>1.4</v>
      </c>
    </row>
    <row r="204" spans="1:7">
      <c r="A204" t="s">
        <v>191</v>
      </c>
      <c r="B204" t="s">
        <v>842</v>
      </c>
      <c r="C204" t="s">
        <v>1411</v>
      </c>
      <c r="D204" t="s">
        <v>1535</v>
      </c>
      <c r="E204" t="s">
        <v>191</v>
      </c>
      <c r="F204" t="s">
        <v>1386</v>
      </c>
      <c r="G204">
        <v>1.4</v>
      </c>
    </row>
    <row r="205" spans="1:7">
      <c r="A205" t="s">
        <v>191</v>
      </c>
      <c r="B205" t="s">
        <v>844</v>
      </c>
      <c r="C205" t="s">
        <v>1411</v>
      </c>
      <c r="D205" t="s">
        <v>1536</v>
      </c>
      <c r="E205" t="s">
        <v>191</v>
      </c>
      <c r="F205" t="s">
        <v>1386</v>
      </c>
      <c r="G205">
        <v>1.4</v>
      </c>
    </row>
    <row r="206" spans="1:7">
      <c r="A206" t="s">
        <v>191</v>
      </c>
      <c r="B206" t="s">
        <v>846</v>
      </c>
      <c r="C206" t="s">
        <v>1411</v>
      </c>
      <c r="D206" t="s">
        <v>1537</v>
      </c>
      <c r="E206" t="s">
        <v>191</v>
      </c>
      <c r="F206" t="s">
        <v>1386</v>
      </c>
      <c r="G206">
        <v>1.4</v>
      </c>
    </row>
    <row r="207" spans="1:7">
      <c r="A207" t="s">
        <v>191</v>
      </c>
      <c r="B207" t="s">
        <v>848</v>
      </c>
      <c r="C207" t="s">
        <v>1411</v>
      </c>
      <c r="D207" t="s">
        <v>1538</v>
      </c>
      <c r="E207" t="s">
        <v>191</v>
      </c>
      <c r="F207" t="s">
        <v>1386</v>
      </c>
      <c r="G207">
        <v>1.4</v>
      </c>
    </row>
    <row r="208" spans="1:7">
      <c r="A208" t="s">
        <v>191</v>
      </c>
      <c r="B208" t="s">
        <v>850</v>
      </c>
      <c r="C208" t="s">
        <v>1411</v>
      </c>
      <c r="D208" t="s">
        <v>1539</v>
      </c>
      <c r="E208" t="s">
        <v>191</v>
      </c>
      <c r="F208" t="s">
        <v>1386</v>
      </c>
      <c r="G208">
        <v>1.4</v>
      </c>
    </row>
    <row r="209" spans="1:7">
      <c r="A209" t="s">
        <v>191</v>
      </c>
      <c r="B209" t="s">
        <v>852</v>
      </c>
      <c r="C209" t="s">
        <v>1411</v>
      </c>
      <c r="D209" t="s">
        <v>1540</v>
      </c>
      <c r="E209" t="s">
        <v>191</v>
      </c>
      <c r="F209" t="s">
        <v>1386</v>
      </c>
      <c r="G209">
        <v>1.4</v>
      </c>
    </row>
    <row r="210" spans="1:7">
      <c r="A210" t="s">
        <v>191</v>
      </c>
      <c r="B210" t="s">
        <v>854</v>
      </c>
      <c r="C210" t="s">
        <v>1411</v>
      </c>
      <c r="D210" t="s">
        <v>1541</v>
      </c>
      <c r="E210" t="s">
        <v>191</v>
      </c>
      <c r="F210" t="s">
        <v>1386</v>
      </c>
      <c r="G210">
        <v>1.4</v>
      </c>
    </row>
    <row r="211" spans="1:7">
      <c r="A211" t="s">
        <v>191</v>
      </c>
      <c r="B211" t="s">
        <v>872</v>
      </c>
      <c r="C211" t="s">
        <v>1411</v>
      </c>
      <c r="D211" t="s">
        <v>1542</v>
      </c>
      <c r="E211" t="s">
        <v>191</v>
      </c>
      <c r="F211" t="s">
        <v>1386</v>
      </c>
      <c r="G211">
        <v>1.4</v>
      </c>
    </row>
    <row r="212" spans="1:7">
      <c r="A212" t="s">
        <v>191</v>
      </c>
      <c r="B212" t="s">
        <v>1543</v>
      </c>
      <c r="C212" t="s">
        <v>1411</v>
      </c>
      <c r="D212" t="s">
        <v>1544</v>
      </c>
      <c r="E212" t="s">
        <v>191</v>
      </c>
      <c r="F212" t="s">
        <v>1386</v>
      </c>
      <c r="G212">
        <v>1.4</v>
      </c>
    </row>
    <row r="213" spans="1:7">
      <c r="A213" t="s">
        <v>191</v>
      </c>
      <c r="B213" t="s">
        <v>741</v>
      </c>
      <c r="C213" t="s">
        <v>1411</v>
      </c>
      <c r="D213" t="s">
        <v>1545</v>
      </c>
      <c r="E213" t="s">
        <v>191</v>
      </c>
      <c r="F213" t="s">
        <v>1386</v>
      </c>
      <c r="G213">
        <v>1.4</v>
      </c>
    </row>
    <row r="214" spans="1:7">
      <c r="A214" t="s">
        <v>191</v>
      </c>
      <c r="B214" t="s">
        <v>1546</v>
      </c>
      <c r="C214" t="s">
        <v>1411</v>
      </c>
      <c r="D214" t="s">
        <v>1547</v>
      </c>
      <c r="E214" t="s">
        <v>191</v>
      </c>
      <c r="F214" t="s">
        <v>1386</v>
      </c>
      <c r="G214">
        <v>1.4</v>
      </c>
    </row>
    <row r="215" spans="1:7">
      <c r="A215" t="s">
        <v>191</v>
      </c>
      <c r="B215" t="s">
        <v>747</v>
      </c>
      <c r="C215" t="s">
        <v>1411</v>
      </c>
      <c r="D215" t="s">
        <v>1548</v>
      </c>
      <c r="E215" t="s">
        <v>191</v>
      </c>
      <c r="F215" t="s">
        <v>1386</v>
      </c>
      <c r="G215">
        <v>1.4</v>
      </c>
    </row>
    <row r="216" spans="1:7">
      <c r="A216" t="s">
        <v>191</v>
      </c>
      <c r="B216" t="s">
        <v>210</v>
      </c>
      <c r="C216" t="s">
        <v>1411</v>
      </c>
      <c r="D216" t="s">
        <v>723</v>
      </c>
      <c r="E216" t="s">
        <v>191</v>
      </c>
      <c r="F216" t="s">
        <v>1386</v>
      </c>
      <c r="G216">
        <v>1.4</v>
      </c>
    </row>
    <row r="217" spans="1:7">
      <c r="A217" t="s">
        <v>191</v>
      </c>
      <c r="B217" t="s">
        <v>204</v>
      </c>
      <c r="C217" t="s">
        <v>1411</v>
      </c>
      <c r="D217" t="s">
        <v>725</v>
      </c>
      <c r="E217" t="s">
        <v>191</v>
      </c>
      <c r="F217" t="s">
        <v>1386</v>
      </c>
      <c r="G217">
        <v>1.4</v>
      </c>
    </row>
    <row r="218" spans="1:7">
      <c r="A218" t="s">
        <v>874</v>
      </c>
      <c r="B218" t="s">
        <v>1549</v>
      </c>
      <c r="C218" t="s">
        <v>1345</v>
      </c>
      <c r="G218">
        <v>1.4</v>
      </c>
    </row>
    <row r="219" spans="1:7">
      <c r="A219" t="s">
        <v>1550</v>
      </c>
      <c r="B219" t="s">
        <v>1551</v>
      </c>
      <c r="C219" t="s">
        <v>1552</v>
      </c>
      <c r="G219">
        <v>1.4</v>
      </c>
    </row>
    <row r="220" spans="1:7">
      <c r="A220" t="s">
        <v>217</v>
      </c>
      <c r="B220" t="s">
        <v>1553</v>
      </c>
      <c r="C220" t="s">
        <v>1552</v>
      </c>
      <c r="G220">
        <v>1.4</v>
      </c>
    </row>
    <row r="221" spans="1:7">
      <c r="A221" t="s">
        <v>217</v>
      </c>
      <c r="B221" t="s">
        <v>1554</v>
      </c>
      <c r="C221" t="s">
        <v>1552</v>
      </c>
      <c r="G221">
        <v>1.4</v>
      </c>
    </row>
    <row r="222" spans="1:7">
      <c r="A222" t="s">
        <v>217</v>
      </c>
      <c r="B222" t="s">
        <v>1555</v>
      </c>
      <c r="C222" t="s">
        <v>1552</v>
      </c>
      <c r="G222">
        <v>1.4</v>
      </c>
    </row>
    <row r="223" spans="1:7">
      <c r="A223" t="s">
        <v>217</v>
      </c>
      <c r="B223" t="s">
        <v>1556</v>
      </c>
      <c r="C223" t="s">
        <v>1552</v>
      </c>
      <c r="G223">
        <v>1.4</v>
      </c>
    </row>
    <row r="224" spans="1:7">
      <c r="A224" t="s">
        <v>217</v>
      </c>
      <c r="B224" t="s">
        <v>1557</v>
      </c>
      <c r="C224" t="s">
        <v>1552</v>
      </c>
      <c r="G224">
        <v>1.4</v>
      </c>
    </row>
    <row r="225" spans="1:7">
      <c r="A225" t="s">
        <v>217</v>
      </c>
      <c r="B225" t="s">
        <v>128</v>
      </c>
      <c r="C225" t="s">
        <v>1552</v>
      </c>
      <c r="G225">
        <v>1.4</v>
      </c>
    </row>
    <row r="226" spans="1:7">
      <c r="A226" t="s">
        <v>217</v>
      </c>
      <c r="B226" t="s">
        <v>1558</v>
      </c>
      <c r="C226" t="s">
        <v>1552</v>
      </c>
      <c r="G226">
        <v>1.4</v>
      </c>
    </row>
    <row r="227" spans="1:7">
      <c r="A227" t="s">
        <v>217</v>
      </c>
      <c r="B227" t="s">
        <v>1559</v>
      </c>
      <c r="C227" t="s">
        <v>1552</v>
      </c>
      <c r="G227">
        <v>1.4</v>
      </c>
    </row>
    <row r="228" spans="1:7">
      <c r="A228" t="s">
        <v>217</v>
      </c>
      <c r="B228" t="s">
        <v>1560</v>
      </c>
      <c r="C228" t="s">
        <v>1552</v>
      </c>
      <c r="G228">
        <v>1.4</v>
      </c>
    </row>
    <row r="229" spans="1:7">
      <c r="A229" t="s">
        <v>217</v>
      </c>
      <c r="B229" t="s">
        <v>1561</v>
      </c>
      <c r="C229" t="s">
        <v>1552</v>
      </c>
      <c r="G229">
        <v>1.4</v>
      </c>
    </row>
    <row r="230" spans="1:7">
      <c r="A230" t="s">
        <v>217</v>
      </c>
      <c r="B230" t="s">
        <v>1562</v>
      </c>
      <c r="C230" t="s">
        <v>1552</v>
      </c>
      <c r="G230">
        <v>1.4</v>
      </c>
    </row>
    <row r="231" spans="1:7">
      <c r="A231" t="s">
        <v>217</v>
      </c>
      <c r="B231" t="s">
        <v>1563</v>
      </c>
      <c r="C231" t="s">
        <v>1552</v>
      </c>
      <c r="G231">
        <v>1.4</v>
      </c>
    </row>
    <row r="232" spans="1:7">
      <c r="A232" t="s">
        <v>217</v>
      </c>
      <c r="B232" t="s">
        <v>1564</v>
      </c>
      <c r="C232" t="s">
        <v>1552</v>
      </c>
      <c r="G232">
        <v>1.4</v>
      </c>
    </row>
    <row r="233" spans="1:7">
      <c r="A233" t="s">
        <v>217</v>
      </c>
      <c r="B233" t="s">
        <v>1565</v>
      </c>
      <c r="C233" t="s">
        <v>1552</v>
      </c>
      <c r="G233">
        <v>1.4</v>
      </c>
    </row>
    <row r="234" spans="1:7">
      <c r="A234" t="s">
        <v>217</v>
      </c>
      <c r="B234" t="s">
        <v>1566</v>
      </c>
      <c r="C234" t="s">
        <v>1552</v>
      </c>
      <c r="G234">
        <v>1.4</v>
      </c>
    </row>
    <row r="235" spans="1:7">
      <c r="A235" t="s">
        <v>217</v>
      </c>
      <c r="B235" t="s">
        <v>1567</v>
      </c>
      <c r="C235" t="s">
        <v>1552</v>
      </c>
      <c r="G235">
        <v>1.4</v>
      </c>
    </row>
    <row r="236" spans="1:7">
      <c r="A236" t="s">
        <v>217</v>
      </c>
      <c r="B236" t="s">
        <v>1419</v>
      </c>
      <c r="C236" t="s">
        <v>1552</v>
      </c>
      <c r="G236">
        <v>1.4</v>
      </c>
    </row>
    <row r="237" spans="1:7">
      <c r="A237" t="s">
        <v>217</v>
      </c>
      <c r="B237" t="s">
        <v>1435</v>
      </c>
      <c r="C237" t="s">
        <v>1552</v>
      </c>
      <c r="G237">
        <v>1.4</v>
      </c>
    </row>
    <row r="238" spans="1:7">
      <c r="A238" t="s">
        <v>217</v>
      </c>
      <c r="B238" t="s">
        <v>1451</v>
      </c>
      <c r="C238" t="s">
        <v>1552</v>
      </c>
      <c r="G238">
        <v>1.4</v>
      </c>
    </row>
    <row r="239" spans="1:7">
      <c r="A239" t="s">
        <v>217</v>
      </c>
      <c r="B239" t="s">
        <v>1467</v>
      </c>
      <c r="C239" t="s">
        <v>1552</v>
      </c>
      <c r="G239">
        <v>1.4</v>
      </c>
    </row>
    <row r="240" spans="1:7">
      <c r="A240" t="s">
        <v>217</v>
      </c>
      <c r="B240" t="s">
        <v>1485</v>
      </c>
      <c r="C240" t="s">
        <v>1552</v>
      </c>
      <c r="G240">
        <v>1.4</v>
      </c>
    </row>
    <row r="241" spans="1:7">
      <c r="A241" t="s">
        <v>217</v>
      </c>
      <c r="B241" t="s">
        <v>1337</v>
      </c>
      <c r="C241" t="s">
        <v>1552</v>
      </c>
      <c r="G241">
        <v>1.4</v>
      </c>
    </row>
    <row r="242" spans="1:7">
      <c r="A242" t="s">
        <v>217</v>
      </c>
      <c r="B242" t="s">
        <v>1568</v>
      </c>
      <c r="C242" t="s">
        <v>1552</v>
      </c>
      <c r="G242">
        <v>1.4</v>
      </c>
    </row>
    <row r="243" spans="1:7">
      <c r="A243" t="s">
        <v>217</v>
      </c>
      <c r="B243" t="s">
        <v>1569</v>
      </c>
      <c r="C243" t="s">
        <v>1552</v>
      </c>
      <c r="G243">
        <v>1.4</v>
      </c>
    </row>
    <row r="244" spans="1:7">
      <c r="A244" t="s">
        <v>217</v>
      </c>
      <c r="B244" t="s">
        <v>1420</v>
      </c>
      <c r="C244" t="s">
        <v>1552</v>
      </c>
      <c r="G244">
        <v>1.4</v>
      </c>
    </row>
    <row r="245" spans="1:7">
      <c r="A245" t="s">
        <v>217</v>
      </c>
      <c r="B245" t="s">
        <v>1436</v>
      </c>
      <c r="C245" t="s">
        <v>1552</v>
      </c>
      <c r="G245">
        <v>1.4</v>
      </c>
    </row>
    <row r="246" spans="1:7">
      <c r="A246" t="s">
        <v>217</v>
      </c>
      <c r="B246" t="s">
        <v>1452</v>
      </c>
      <c r="C246" t="s">
        <v>1552</v>
      </c>
      <c r="G246">
        <v>1.4</v>
      </c>
    </row>
    <row r="247" spans="1:7">
      <c r="A247" t="s">
        <v>217</v>
      </c>
      <c r="B247" t="s">
        <v>1468</v>
      </c>
      <c r="C247" t="s">
        <v>1552</v>
      </c>
      <c r="G247">
        <v>1.4</v>
      </c>
    </row>
    <row r="248" spans="1:7">
      <c r="A248" t="s">
        <v>217</v>
      </c>
      <c r="B248" t="s">
        <v>1486</v>
      </c>
      <c r="C248" t="s">
        <v>1552</v>
      </c>
      <c r="G248">
        <v>1.4</v>
      </c>
    </row>
    <row r="249" spans="1:7">
      <c r="A249" t="s">
        <v>217</v>
      </c>
      <c r="B249" t="s">
        <v>1570</v>
      </c>
      <c r="C249" t="s">
        <v>1552</v>
      </c>
      <c r="G249">
        <v>1.4</v>
      </c>
    </row>
    <row r="250" spans="1:7">
      <c r="A250" t="s">
        <v>217</v>
      </c>
      <c r="B250" t="s">
        <v>1571</v>
      </c>
      <c r="C250" t="s">
        <v>1552</v>
      </c>
      <c r="G250">
        <v>1.4</v>
      </c>
    </row>
    <row r="251" spans="1:7">
      <c r="A251" t="s">
        <v>217</v>
      </c>
      <c r="B251" t="s">
        <v>1572</v>
      </c>
      <c r="C251" t="s">
        <v>1552</v>
      </c>
      <c r="G251">
        <v>1.4</v>
      </c>
    </row>
    <row r="252" spans="1:7">
      <c r="A252" t="s">
        <v>217</v>
      </c>
      <c r="B252" t="s">
        <v>1421</v>
      </c>
      <c r="C252" t="s">
        <v>1552</v>
      </c>
      <c r="G252">
        <v>1.4</v>
      </c>
    </row>
    <row r="253" spans="1:7">
      <c r="A253" t="s">
        <v>217</v>
      </c>
      <c r="B253" t="s">
        <v>1437</v>
      </c>
      <c r="C253" t="s">
        <v>1552</v>
      </c>
      <c r="G253">
        <v>1.4</v>
      </c>
    </row>
    <row r="254" spans="1:7">
      <c r="A254" t="s">
        <v>217</v>
      </c>
      <c r="B254" t="s">
        <v>1453</v>
      </c>
      <c r="C254" t="s">
        <v>1552</v>
      </c>
      <c r="G254">
        <v>1.4</v>
      </c>
    </row>
    <row r="255" spans="1:7">
      <c r="A255" t="s">
        <v>217</v>
      </c>
      <c r="B255" t="s">
        <v>1469</v>
      </c>
      <c r="C255" t="s">
        <v>1552</v>
      </c>
      <c r="G255">
        <v>1.4</v>
      </c>
    </row>
    <row r="256" spans="1:7">
      <c r="A256" t="s">
        <v>217</v>
      </c>
      <c r="B256" t="s">
        <v>1487</v>
      </c>
      <c r="C256" t="s">
        <v>1552</v>
      </c>
      <c r="G256">
        <v>1.4</v>
      </c>
    </row>
    <row r="257" spans="1:7">
      <c r="A257" t="s">
        <v>217</v>
      </c>
      <c r="B257" t="s">
        <v>1573</v>
      </c>
      <c r="C257" t="s">
        <v>1552</v>
      </c>
      <c r="G257">
        <v>1.4</v>
      </c>
    </row>
    <row r="258" spans="1:7">
      <c r="A258" t="s">
        <v>217</v>
      </c>
      <c r="B258" t="s">
        <v>1574</v>
      </c>
      <c r="C258" t="s">
        <v>1552</v>
      </c>
      <c r="G258">
        <v>1.4</v>
      </c>
    </row>
    <row r="259" spans="1:7">
      <c r="A259" t="s">
        <v>217</v>
      </c>
      <c r="B259" t="s">
        <v>1575</v>
      </c>
      <c r="C259" t="s">
        <v>1552</v>
      </c>
      <c r="G259">
        <v>1.4</v>
      </c>
    </row>
    <row r="260" spans="1:7">
      <c r="A260" t="s">
        <v>217</v>
      </c>
      <c r="B260" t="s">
        <v>1422</v>
      </c>
      <c r="C260" t="s">
        <v>1552</v>
      </c>
      <c r="G260">
        <v>1.4</v>
      </c>
    </row>
    <row r="261" spans="1:7">
      <c r="A261" t="s">
        <v>217</v>
      </c>
      <c r="B261" t="s">
        <v>1438</v>
      </c>
      <c r="C261" t="s">
        <v>1552</v>
      </c>
      <c r="G261">
        <v>1.4</v>
      </c>
    </row>
    <row r="262" spans="1:7">
      <c r="A262" t="s">
        <v>217</v>
      </c>
      <c r="B262" t="s">
        <v>1454</v>
      </c>
      <c r="C262" t="s">
        <v>1552</v>
      </c>
      <c r="G262">
        <v>1.4</v>
      </c>
    </row>
    <row r="263" spans="1:7">
      <c r="A263" t="s">
        <v>217</v>
      </c>
      <c r="B263" t="s">
        <v>1470</v>
      </c>
      <c r="C263" t="s">
        <v>1552</v>
      </c>
      <c r="G263">
        <v>1.4</v>
      </c>
    </row>
    <row r="264" spans="1:7">
      <c r="A264" t="s">
        <v>217</v>
      </c>
      <c r="B264" t="s">
        <v>1488</v>
      </c>
      <c r="C264" t="s">
        <v>1552</v>
      </c>
      <c r="G264">
        <v>1.4</v>
      </c>
    </row>
    <row r="265" spans="1:7">
      <c r="A265" t="s">
        <v>191</v>
      </c>
      <c r="B265" t="s">
        <v>1475</v>
      </c>
      <c r="C265" t="s">
        <v>1576</v>
      </c>
      <c r="G265">
        <v>1.4</v>
      </c>
    </row>
    <row r="266" spans="1:7">
      <c r="A266" t="s">
        <v>191</v>
      </c>
      <c r="B266" t="s">
        <v>1476</v>
      </c>
      <c r="C266" t="s">
        <v>1576</v>
      </c>
      <c r="G266">
        <v>1.4</v>
      </c>
    </row>
    <row r="267" spans="1:7">
      <c r="A267" t="s">
        <v>191</v>
      </c>
      <c r="B267" t="s">
        <v>1477</v>
      </c>
      <c r="C267" t="s">
        <v>1576</v>
      </c>
      <c r="G267">
        <v>1.4</v>
      </c>
    </row>
    <row r="268" spans="1:7">
      <c r="A268" t="s">
        <v>191</v>
      </c>
      <c r="B268" t="s">
        <v>1478</v>
      </c>
      <c r="C268" t="s">
        <v>1576</v>
      </c>
      <c r="G268">
        <v>1.4</v>
      </c>
    </row>
    <row r="269" spans="1:7">
      <c r="A269" t="s">
        <v>191</v>
      </c>
      <c r="B269" t="s">
        <v>1479</v>
      </c>
      <c r="C269" t="s">
        <v>1576</v>
      </c>
      <c r="G269">
        <v>1.4</v>
      </c>
    </row>
    <row r="270" spans="1:7">
      <c r="A270" t="s">
        <v>191</v>
      </c>
      <c r="B270" t="s">
        <v>1480</v>
      </c>
      <c r="C270" t="s">
        <v>1576</v>
      </c>
      <c r="G270">
        <v>1.4</v>
      </c>
    </row>
    <row r="271" spans="1:7">
      <c r="A271" t="s">
        <v>191</v>
      </c>
      <c r="B271" t="s">
        <v>1481</v>
      </c>
      <c r="C271" t="s">
        <v>1576</v>
      </c>
      <c r="G271">
        <v>1.4</v>
      </c>
    </row>
    <row r="272" spans="1:7">
      <c r="A272" t="s">
        <v>191</v>
      </c>
      <c r="B272" t="s">
        <v>1482</v>
      </c>
      <c r="C272" t="s">
        <v>1576</v>
      </c>
      <c r="G272">
        <v>1.4</v>
      </c>
    </row>
    <row r="273" spans="1:7">
      <c r="A273" t="s">
        <v>191</v>
      </c>
      <c r="B273" t="s">
        <v>1483</v>
      </c>
      <c r="C273" t="s">
        <v>1576</v>
      </c>
      <c r="G273">
        <v>1.4</v>
      </c>
    </row>
    <row r="274" spans="1:7">
      <c r="A274" t="s">
        <v>191</v>
      </c>
      <c r="B274" t="s">
        <v>1484</v>
      </c>
      <c r="C274" t="s">
        <v>1576</v>
      </c>
      <c r="G274">
        <v>1.4</v>
      </c>
    </row>
    <row r="275" spans="1:7">
      <c r="A275" t="s">
        <v>191</v>
      </c>
      <c r="B275" t="s">
        <v>1485</v>
      </c>
      <c r="C275" t="s">
        <v>1576</v>
      </c>
      <c r="G275">
        <v>1.4</v>
      </c>
    </row>
    <row r="276" spans="1:7">
      <c r="A276" t="s">
        <v>191</v>
      </c>
      <c r="B276" t="s">
        <v>1486</v>
      </c>
      <c r="C276" t="s">
        <v>1576</v>
      </c>
      <c r="G276">
        <v>1.4</v>
      </c>
    </row>
    <row r="277" spans="1:7">
      <c r="A277" t="s">
        <v>191</v>
      </c>
      <c r="B277" t="s">
        <v>1487</v>
      </c>
      <c r="C277" t="s">
        <v>1576</v>
      </c>
      <c r="G277">
        <v>1.4</v>
      </c>
    </row>
    <row r="278" spans="1:7">
      <c r="A278" t="s">
        <v>191</v>
      </c>
      <c r="B278" t="s">
        <v>1488</v>
      </c>
      <c r="C278" t="s">
        <v>1576</v>
      </c>
      <c r="G278">
        <v>1.4</v>
      </c>
    </row>
    <row r="279" spans="1:7">
      <c r="A279" t="s">
        <v>191</v>
      </c>
      <c r="B279" t="s">
        <v>1489</v>
      </c>
      <c r="C279" t="s">
        <v>1576</v>
      </c>
      <c r="G279">
        <v>1.4</v>
      </c>
    </row>
    <row r="280" spans="1:7">
      <c r="A280" t="s">
        <v>191</v>
      </c>
      <c r="B280" t="s">
        <v>1490</v>
      </c>
      <c r="C280" t="s">
        <v>1576</v>
      </c>
      <c r="G280">
        <v>1.4</v>
      </c>
    </row>
    <row r="281" spans="1:7">
      <c r="A281" t="s">
        <v>191</v>
      </c>
      <c r="B281" t="s">
        <v>1491</v>
      </c>
      <c r="C281" t="s">
        <v>1576</v>
      </c>
      <c r="G281">
        <v>1.4</v>
      </c>
    </row>
    <row r="282" spans="1:7">
      <c r="A282" t="s">
        <v>191</v>
      </c>
      <c r="B282" t="s">
        <v>1492</v>
      </c>
      <c r="C282" t="s">
        <v>1576</v>
      </c>
      <c r="G282">
        <v>1.4</v>
      </c>
    </row>
    <row r="283" spans="1:7">
      <c r="A283" t="s">
        <v>191</v>
      </c>
      <c r="B283" t="s">
        <v>1493</v>
      </c>
      <c r="C283" t="s">
        <v>1576</v>
      </c>
      <c r="G283">
        <v>1.4</v>
      </c>
    </row>
    <row r="284" spans="1:7">
      <c r="A284" t="s">
        <v>191</v>
      </c>
      <c r="B284" t="s">
        <v>1577</v>
      </c>
      <c r="C284" t="s">
        <v>1576</v>
      </c>
      <c r="G284">
        <v>1.4</v>
      </c>
    </row>
    <row r="285" spans="1:7">
      <c r="A285" t="s">
        <v>191</v>
      </c>
      <c r="B285" t="s">
        <v>1578</v>
      </c>
      <c r="C285" t="s">
        <v>1576</v>
      </c>
      <c r="G285">
        <v>1.4</v>
      </c>
    </row>
    <row r="286" spans="1:7">
      <c r="A286" t="s">
        <v>191</v>
      </c>
      <c r="B286" t="s">
        <v>1579</v>
      </c>
      <c r="C286" t="s">
        <v>1576</v>
      </c>
      <c r="G286">
        <v>1.4</v>
      </c>
    </row>
    <row r="287" spans="1:7">
      <c r="A287" t="s">
        <v>191</v>
      </c>
      <c r="B287" t="s">
        <v>1580</v>
      </c>
      <c r="C287" t="s">
        <v>1576</v>
      </c>
      <c r="G287">
        <v>1.4</v>
      </c>
    </row>
    <row r="288" spans="1:7">
      <c r="A288" t="s">
        <v>191</v>
      </c>
      <c r="B288" t="s">
        <v>1581</v>
      </c>
      <c r="C288" t="s">
        <v>1576</v>
      </c>
      <c r="G288">
        <v>1.4</v>
      </c>
    </row>
    <row r="289" spans="1:7">
      <c r="A289" t="s">
        <v>191</v>
      </c>
      <c r="B289" t="s">
        <v>1582</v>
      </c>
      <c r="C289" t="s">
        <v>1576</v>
      </c>
      <c r="G289">
        <v>1.4</v>
      </c>
    </row>
    <row r="290" spans="1:7">
      <c r="A290" t="s">
        <v>191</v>
      </c>
      <c r="B290" t="s">
        <v>1583</v>
      </c>
      <c r="C290" t="s">
        <v>1576</v>
      </c>
      <c r="G290">
        <v>1.4</v>
      </c>
    </row>
    <row r="291" spans="1:7">
      <c r="A291" t="s">
        <v>191</v>
      </c>
      <c r="B291" t="s">
        <v>1584</v>
      </c>
      <c r="C291" t="s">
        <v>1576</v>
      </c>
      <c r="G291">
        <v>1.4</v>
      </c>
    </row>
    <row r="292" spans="1:7">
      <c r="A292" t="s">
        <v>191</v>
      </c>
      <c r="B292" t="s">
        <v>134</v>
      </c>
      <c r="C292" t="s">
        <v>1576</v>
      </c>
      <c r="G292">
        <v>1.4</v>
      </c>
    </row>
    <row r="293" spans="1:7">
      <c r="A293" t="s">
        <v>191</v>
      </c>
      <c r="B293" t="s">
        <v>1495</v>
      </c>
      <c r="C293" t="s">
        <v>1576</v>
      </c>
      <c r="G293">
        <v>1.4</v>
      </c>
    </row>
    <row r="294" spans="1:7">
      <c r="A294" t="s">
        <v>191</v>
      </c>
      <c r="B294" t="s">
        <v>1497</v>
      </c>
      <c r="C294" t="s">
        <v>1576</v>
      </c>
      <c r="G294">
        <v>1.4</v>
      </c>
    </row>
    <row r="295" spans="1:7">
      <c r="A295" t="s">
        <v>191</v>
      </c>
      <c r="B295" t="s">
        <v>1500</v>
      </c>
      <c r="C295" t="s">
        <v>1576</v>
      </c>
      <c r="G295">
        <v>1.4</v>
      </c>
    </row>
    <row r="296" spans="1:7">
      <c r="A296" t="s">
        <v>191</v>
      </c>
      <c r="B296" t="s">
        <v>1501</v>
      </c>
      <c r="C296" t="s">
        <v>1576</v>
      </c>
      <c r="G296">
        <v>1.4</v>
      </c>
    </row>
    <row r="297" spans="1:7">
      <c r="A297" t="s">
        <v>191</v>
      </c>
      <c r="B297" t="s">
        <v>1502</v>
      </c>
      <c r="C297" t="s">
        <v>1576</v>
      </c>
      <c r="G297">
        <v>1.4</v>
      </c>
    </row>
    <row r="298" spans="1:7">
      <c r="A298" t="s">
        <v>191</v>
      </c>
      <c r="B298" t="s">
        <v>1503</v>
      </c>
      <c r="C298" t="s">
        <v>1576</v>
      </c>
      <c r="G298">
        <v>1.4</v>
      </c>
    </row>
    <row r="299" spans="1:7">
      <c r="A299" t="s">
        <v>191</v>
      </c>
      <c r="B299" t="s">
        <v>1504</v>
      </c>
      <c r="C299" t="s">
        <v>1576</v>
      </c>
      <c r="G299">
        <v>1.4</v>
      </c>
    </row>
    <row r="300" spans="1:7">
      <c r="A300" t="s">
        <v>191</v>
      </c>
      <c r="B300" t="s">
        <v>1505</v>
      </c>
      <c r="C300" t="s">
        <v>1576</v>
      </c>
      <c r="G300">
        <v>1.4</v>
      </c>
    </row>
    <row r="301" spans="1:7">
      <c r="A301" t="s">
        <v>191</v>
      </c>
      <c r="B301" t="s">
        <v>1506</v>
      </c>
      <c r="C301" t="s">
        <v>1576</v>
      </c>
      <c r="G301">
        <v>1.4</v>
      </c>
    </row>
    <row r="302" spans="1:7">
      <c r="A302" t="s">
        <v>191</v>
      </c>
      <c r="B302" t="s">
        <v>1507</v>
      </c>
      <c r="C302" t="s">
        <v>1576</v>
      </c>
      <c r="G302">
        <v>1.4</v>
      </c>
    </row>
    <row r="303" spans="1:7">
      <c r="A303" t="s">
        <v>191</v>
      </c>
      <c r="B303" t="s">
        <v>1508</v>
      </c>
      <c r="C303" t="s">
        <v>1576</v>
      </c>
      <c r="G303">
        <v>1.4</v>
      </c>
    </row>
    <row r="304" spans="1:7">
      <c r="A304" t="s">
        <v>191</v>
      </c>
      <c r="B304" t="s">
        <v>1509</v>
      </c>
      <c r="C304" t="s">
        <v>1576</v>
      </c>
      <c r="G304">
        <v>1.4</v>
      </c>
    </row>
    <row r="305" spans="1:7">
      <c r="A305" t="s">
        <v>191</v>
      </c>
      <c r="B305" t="s">
        <v>1510</v>
      </c>
      <c r="C305" t="s">
        <v>1576</v>
      </c>
      <c r="G305">
        <v>1.4</v>
      </c>
    </row>
    <row r="306" spans="1:7">
      <c r="A306" t="s">
        <v>191</v>
      </c>
      <c r="B306" t="s">
        <v>1511</v>
      </c>
      <c r="C306" t="s">
        <v>1576</v>
      </c>
      <c r="G306">
        <v>1.4</v>
      </c>
    </row>
    <row r="307" spans="1:7">
      <c r="A307" t="s">
        <v>191</v>
      </c>
      <c r="B307" t="s">
        <v>1512</v>
      </c>
      <c r="C307" t="s">
        <v>1576</v>
      </c>
      <c r="G307">
        <v>1.4</v>
      </c>
    </row>
    <row r="308" spans="1:7">
      <c r="A308" t="s">
        <v>191</v>
      </c>
      <c r="B308" t="s">
        <v>1585</v>
      </c>
      <c r="C308" t="s">
        <v>1576</v>
      </c>
      <c r="G308">
        <v>1.4</v>
      </c>
    </row>
    <row r="309" spans="1:7">
      <c r="A309" t="s">
        <v>191</v>
      </c>
      <c r="B309" t="s">
        <v>1586</v>
      </c>
      <c r="C309" t="s">
        <v>1576</v>
      </c>
      <c r="G309">
        <v>1.4</v>
      </c>
    </row>
    <row r="310" spans="1:7">
      <c r="A310" t="s">
        <v>191</v>
      </c>
      <c r="B310" t="s">
        <v>1587</v>
      </c>
      <c r="C310" t="s">
        <v>1576</v>
      </c>
      <c r="G310">
        <v>1.4</v>
      </c>
    </row>
    <row r="311" spans="1:7">
      <c r="A311" t="s">
        <v>191</v>
      </c>
      <c r="B311" t="s">
        <v>1588</v>
      </c>
      <c r="C311" t="s">
        <v>1576</v>
      </c>
      <c r="G311">
        <v>1.4</v>
      </c>
    </row>
    <row r="312" spans="1:7">
      <c r="A312" t="s">
        <v>191</v>
      </c>
      <c r="B312" t="s">
        <v>1589</v>
      </c>
      <c r="C312" t="s">
        <v>1576</v>
      </c>
      <c r="G312">
        <v>1.4</v>
      </c>
    </row>
    <row r="313" spans="1:7">
      <c r="A313" t="s">
        <v>191</v>
      </c>
      <c r="B313" t="s">
        <v>1519</v>
      </c>
      <c r="C313" t="s">
        <v>1576</v>
      </c>
      <c r="G313">
        <v>1.4</v>
      </c>
    </row>
    <row r="314" spans="1:7">
      <c r="A314" t="s">
        <v>191</v>
      </c>
      <c r="B314" t="s">
        <v>1520</v>
      </c>
      <c r="C314" t="s">
        <v>1576</v>
      </c>
      <c r="G314">
        <v>1.4</v>
      </c>
    </row>
    <row r="315" spans="1:7">
      <c r="A315" t="s">
        <v>191</v>
      </c>
      <c r="B315" t="s">
        <v>1521</v>
      </c>
      <c r="C315" t="s">
        <v>1576</v>
      </c>
      <c r="G315">
        <v>1.4</v>
      </c>
    </row>
    <row r="316" spans="1:7">
      <c r="A316" t="s">
        <v>191</v>
      </c>
      <c r="B316" t="s">
        <v>1526</v>
      </c>
      <c r="C316" t="s">
        <v>1576</v>
      </c>
      <c r="G316">
        <v>1.4</v>
      </c>
    </row>
    <row r="317" spans="1:7">
      <c r="A317" t="s">
        <v>191</v>
      </c>
      <c r="B317" t="s">
        <v>1527</v>
      </c>
      <c r="C317" t="s">
        <v>1576</v>
      </c>
      <c r="G317">
        <v>1.4</v>
      </c>
    </row>
    <row r="318" spans="1:7">
      <c r="A318" t="s">
        <v>191</v>
      </c>
      <c r="B318" t="s">
        <v>1528</v>
      </c>
      <c r="C318" t="s">
        <v>1576</v>
      </c>
      <c r="G318">
        <v>1.4</v>
      </c>
    </row>
    <row r="319" spans="1:7">
      <c r="A319" t="s">
        <v>191</v>
      </c>
      <c r="B319" t="s">
        <v>1529</v>
      </c>
      <c r="C319" t="s">
        <v>1576</v>
      </c>
      <c r="G319">
        <v>1.4</v>
      </c>
    </row>
    <row r="320" spans="1:7">
      <c r="A320" t="s">
        <v>191</v>
      </c>
      <c r="B320" t="s">
        <v>1530</v>
      </c>
      <c r="C320" t="s">
        <v>1576</v>
      </c>
      <c r="G320">
        <v>1.4</v>
      </c>
    </row>
    <row r="321" spans="1:7">
      <c r="A321" t="s">
        <v>191</v>
      </c>
      <c r="B321" t="s">
        <v>1531</v>
      </c>
      <c r="C321" t="s">
        <v>1576</v>
      </c>
      <c r="G321">
        <v>1.4</v>
      </c>
    </row>
    <row r="322" spans="1:7">
      <c r="A322" t="s">
        <v>191</v>
      </c>
      <c r="B322" t="s">
        <v>1532</v>
      </c>
      <c r="C322" t="s">
        <v>1576</v>
      </c>
      <c r="G322">
        <v>1.4</v>
      </c>
    </row>
    <row r="323" spans="1:7">
      <c r="A323" t="s">
        <v>191</v>
      </c>
      <c r="B323" t="s">
        <v>1533</v>
      </c>
      <c r="C323" t="s">
        <v>1576</v>
      </c>
      <c r="G323">
        <v>1.4</v>
      </c>
    </row>
    <row r="324" spans="1:7">
      <c r="A324" t="s">
        <v>191</v>
      </c>
      <c r="B324" t="s">
        <v>1534</v>
      </c>
      <c r="C324" t="s">
        <v>1576</v>
      </c>
      <c r="G324">
        <v>1.4</v>
      </c>
    </row>
    <row r="325" spans="1:7">
      <c r="A325" t="s">
        <v>191</v>
      </c>
      <c r="B325" t="s">
        <v>1535</v>
      </c>
      <c r="C325" t="s">
        <v>1576</v>
      </c>
      <c r="G325">
        <v>1.4</v>
      </c>
    </row>
    <row r="326" spans="1:7">
      <c r="A326" t="s">
        <v>191</v>
      </c>
      <c r="B326" t="s">
        <v>1536</v>
      </c>
      <c r="C326" t="s">
        <v>1576</v>
      </c>
      <c r="G326">
        <v>1.4</v>
      </c>
    </row>
    <row r="327" spans="1:7">
      <c r="A327" t="s">
        <v>191</v>
      </c>
      <c r="B327" t="s">
        <v>1537</v>
      </c>
      <c r="C327" t="s">
        <v>1576</v>
      </c>
      <c r="G327">
        <v>1.4</v>
      </c>
    </row>
    <row r="328" spans="1:7">
      <c r="A328" t="s">
        <v>191</v>
      </c>
      <c r="B328" t="s">
        <v>1538</v>
      </c>
      <c r="C328" t="s">
        <v>1576</v>
      </c>
      <c r="G328">
        <v>1.4</v>
      </c>
    </row>
    <row r="329" spans="1:7">
      <c r="A329" t="s">
        <v>191</v>
      </c>
      <c r="B329" t="s">
        <v>1539</v>
      </c>
      <c r="C329" t="s">
        <v>1576</v>
      </c>
      <c r="G329">
        <v>1.4</v>
      </c>
    </row>
    <row r="330" spans="1:7">
      <c r="A330" t="s">
        <v>191</v>
      </c>
      <c r="B330" t="s">
        <v>1540</v>
      </c>
      <c r="C330" t="s">
        <v>1576</v>
      </c>
      <c r="G330">
        <v>1.4</v>
      </c>
    </row>
    <row r="331" spans="1:7">
      <c r="A331" t="s">
        <v>191</v>
      </c>
      <c r="B331" t="s">
        <v>1541</v>
      </c>
      <c r="C331" t="s">
        <v>1576</v>
      </c>
      <c r="G331">
        <v>1.4</v>
      </c>
    </row>
    <row r="332" spans="1:7">
      <c r="A332" t="s">
        <v>191</v>
      </c>
      <c r="B332" t="s">
        <v>1542</v>
      </c>
      <c r="C332" t="s">
        <v>1576</v>
      </c>
      <c r="G332">
        <v>1.4</v>
      </c>
    </row>
    <row r="333" spans="1:7">
      <c r="A333" t="s">
        <v>191</v>
      </c>
      <c r="B333" t="s">
        <v>1590</v>
      </c>
      <c r="C333" t="s">
        <v>1576</v>
      </c>
      <c r="G333">
        <v>1.4</v>
      </c>
    </row>
    <row r="334" spans="1:7">
      <c r="A334" t="s">
        <v>191</v>
      </c>
      <c r="B334" t="s">
        <v>1544</v>
      </c>
      <c r="C334" t="s">
        <v>1576</v>
      </c>
      <c r="G334">
        <v>1.4</v>
      </c>
    </row>
    <row r="335" spans="1:7">
      <c r="A335" t="s">
        <v>191</v>
      </c>
      <c r="B335" t="s">
        <v>1545</v>
      </c>
      <c r="C335" t="s">
        <v>1576</v>
      </c>
      <c r="G335">
        <v>1.4</v>
      </c>
    </row>
    <row r="336" spans="1:7">
      <c r="A336" t="s">
        <v>191</v>
      </c>
      <c r="B336" t="s">
        <v>1548</v>
      </c>
      <c r="C336" t="s">
        <v>1576</v>
      </c>
      <c r="G336">
        <v>1.4</v>
      </c>
    </row>
    <row r="338" spans="1:6">
      <c r="A338" t="s">
        <v>150</v>
      </c>
      <c r="B338" t="s">
        <v>1333</v>
      </c>
      <c r="C338" t="s">
        <v>1334</v>
      </c>
    </row>
    <row r="339" spans="1:6">
      <c r="A339" t="s">
        <v>150</v>
      </c>
      <c r="B339" t="s">
        <v>1335</v>
      </c>
      <c r="C339" t="s">
        <v>1334</v>
      </c>
    </row>
    <row r="340" spans="1:6">
      <c r="A340" t="s">
        <v>150</v>
      </c>
      <c r="B340" t="s">
        <v>1336</v>
      </c>
      <c r="C340" t="s">
        <v>1334</v>
      </c>
    </row>
    <row r="341" spans="1:6">
      <c r="A341" t="s">
        <v>150</v>
      </c>
      <c r="B341" t="s">
        <v>1337</v>
      </c>
      <c r="C341" t="s">
        <v>1334</v>
      </c>
    </row>
    <row r="342" spans="1:6">
      <c r="A342" t="s">
        <v>150</v>
      </c>
      <c r="B342" t="s">
        <v>1338</v>
      </c>
      <c r="C342" t="s">
        <v>1334</v>
      </c>
    </row>
    <row r="343" spans="1:6">
      <c r="A343" t="s">
        <v>150</v>
      </c>
      <c r="B343" t="s">
        <v>1339</v>
      </c>
      <c r="C343" t="s">
        <v>1334</v>
      </c>
    </row>
    <row r="344" spans="1:6">
      <c r="A344" t="s">
        <v>150</v>
      </c>
      <c r="B344" t="s">
        <v>1340</v>
      </c>
      <c r="C344" t="s">
        <v>1334</v>
      </c>
    </row>
    <row r="345" spans="1:6">
      <c r="A345" t="s">
        <v>150</v>
      </c>
      <c r="B345" t="s">
        <v>1341</v>
      </c>
      <c r="C345" t="s">
        <v>1334</v>
      </c>
    </row>
    <row r="346" spans="1:6">
      <c r="A346" t="s">
        <v>150</v>
      </c>
      <c r="B346" t="s">
        <v>1342</v>
      </c>
      <c r="C346" t="s">
        <v>1334</v>
      </c>
    </row>
    <row r="347" spans="1:6">
      <c r="A347" t="s">
        <v>150</v>
      </c>
      <c r="B347" t="s">
        <v>1343</v>
      </c>
      <c r="C347" t="s">
        <v>1334</v>
      </c>
    </row>
    <row r="348" spans="1:6">
      <c r="A348" t="s">
        <v>191</v>
      </c>
      <c r="B348" t="s">
        <v>1361</v>
      </c>
      <c r="C348" t="s">
        <v>1334</v>
      </c>
    </row>
    <row r="349" spans="1:6">
      <c r="A349" t="s">
        <v>191</v>
      </c>
      <c r="B349" t="s">
        <v>1362</v>
      </c>
      <c r="C349" t="s">
        <v>1334</v>
      </c>
    </row>
    <row r="350" spans="1:6">
      <c r="A350" t="s">
        <v>150</v>
      </c>
      <c r="B350" t="s">
        <v>1359</v>
      </c>
      <c r="C350" t="s">
        <v>1360</v>
      </c>
      <c r="D350" t="s">
        <v>162</v>
      </c>
      <c r="E350" t="s">
        <v>150</v>
      </c>
      <c r="F350" t="s">
        <v>126</v>
      </c>
    </row>
    <row r="351" spans="1:6">
      <c r="A351" t="s">
        <v>935</v>
      </c>
      <c r="B351" t="s">
        <v>1364</v>
      </c>
      <c r="C351" t="s">
        <v>1360</v>
      </c>
      <c r="D351" t="s">
        <v>162</v>
      </c>
      <c r="E351" t="s">
        <v>150</v>
      </c>
      <c r="F351" t="s">
        <v>126</v>
      </c>
    </row>
    <row r="352" spans="1:6">
      <c r="A352" t="s">
        <v>935</v>
      </c>
      <c r="B352" t="s">
        <v>1365</v>
      </c>
      <c r="C352" t="s">
        <v>1360</v>
      </c>
      <c r="D352" t="s">
        <v>162</v>
      </c>
      <c r="E352" t="s">
        <v>150</v>
      </c>
      <c r="F352" t="s">
        <v>126</v>
      </c>
    </row>
    <row r="353" spans="1:6">
      <c r="A353" t="s">
        <v>935</v>
      </c>
      <c r="B353" t="s">
        <v>1366</v>
      </c>
      <c r="C353" t="s">
        <v>1360</v>
      </c>
      <c r="D353" t="s">
        <v>162</v>
      </c>
      <c r="E353" t="s">
        <v>150</v>
      </c>
      <c r="F353" t="s">
        <v>126</v>
      </c>
    </row>
    <row r="354" spans="1:6">
      <c r="A354" t="s">
        <v>935</v>
      </c>
      <c r="B354" t="s">
        <v>1367</v>
      </c>
      <c r="C354" t="s">
        <v>1360</v>
      </c>
      <c r="D354" t="s">
        <v>162</v>
      </c>
      <c r="E354" t="s">
        <v>150</v>
      </c>
      <c r="F354" t="s">
        <v>126</v>
      </c>
    </row>
    <row r="355" spans="1:6">
      <c r="A355" t="s">
        <v>150</v>
      </c>
      <c r="B355" t="s">
        <v>1353</v>
      </c>
      <c r="C355" t="s">
        <v>1354</v>
      </c>
      <c r="D355" t="s">
        <v>166</v>
      </c>
      <c r="E355" t="s">
        <v>150</v>
      </c>
      <c r="F355" t="s">
        <v>126</v>
      </c>
    </row>
    <row r="356" spans="1:6">
      <c r="A356" t="s">
        <v>150</v>
      </c>
      <c r="B356" t="s">
        <v>1355</v>
      </c>
      <c r="C356" t="s">
        <v>1356</v>
      </c>
      <c r="D356" t="s">
        <v>904</v>
      </c>
      <c r="E356" t="s">
        <v>150</v>
      </c>
      <c r="F356" t="s">
        <v>126</v>
      </c>
    </row>
    <row r="357" spans="1:6">
      <c r="A357" t="s">
        <v>150</v>
      </c>
      <c r="B357" t="s">
        <v>1357</v>
      </c>
      <c r="C357" t="s">
        <v>1356</v>
      </c>
      <c r="D357" t="s">
        <v>904</v>
      </c>
      <c r="E357" t="s">
        <v>150</v>
      </c>
      <c r="F357" t="s">
        <v>126</v>
      </c>
    </row>
    <row r="358" spans="1:6">
      <c r="A358" t="s">
        <v>150</v>
      </c>
      <c r="B358" t="s">
        <v>1358</v>
      </c>
      <c r="C358" t="s">
        <v>1356</v>
      </c>
      <c r="D358" t="s">
        <v>904</v>
      </c>
      <c r="E358" t="s">
        <v>150</v>
      </c>
      <c r="F358" t="s">
        <v>126</v>
      </c>
    </row>
    <row r="359" spans="1:6">
      <c r="A359" t="s">
        <v>223</v>
      </c>
      <c r="B359" t="s">
        <v>224</v>
      </c>
      <c r="C359" t="s">
        <v>1370</v>
      </c>
      <c r="D359" t="s">
        <v>1371</v>
      </c>
      <c r="E359" t="s">
        <v>150</v>
      </c>
      <c r="F359" t="s">
        <v>1372</v>
      </c>
    </row>
    <row r="360" spans="1:6">
      <c r="A360" t="s">
        <v>223</v>
      </c>
      <c r="B360" t="s">
        <v>226</v>
      </c>
      <c r="C360" t="s">
        <v>1370</v>
      </c>
      <c r="D360" t="s">
        <v>1371</v>
      </c>
      <c r="E360" t="s">
        <v>150</v>
      </c>
      <c r="F360" t="s">
        <v>1372</v>
      </c>
    </row>
    <row r="361" spans="1:6">
      <c r="A361" t="s">
        <v>223</v>
      </c>
      <c r="B361" t="s">
        <v>1373</v>
      </c>
      <c r="C361" t="s">
        <v>1370</v>
      </c>
      <c r="D361" t="s">
        <v>1371</v>
      </c>
      <c r="E361" t="s">
        <v>150</v>
      </c>
      <c r="F361" t="s">
        <v>1372</v>
      </c>
    </row>
    <row r="362" spans="1:6">
      <c r="A362" t="s">
        <v>223</v>
      </c>
      <c r="B362" t="s">
        <v>231</v>
      </c>
      <c r="C362" t="s">
        <v>1370</v>
      </c>
      <c r="D362" t="s">
        <v>1371</v>
      </c>
      <c r="E362" t="s">
        <v>150</v>
      </c>
      <c r="F362" t="s">
        <v>1372</v>
      </c>
    </row>
    <row r="363" spans="1:6">
      <c r="A363" t="s">
        <v>223</v>
      </c>
      <c r="B363" t="s">
        <v>233</v>
      </c>
      <c r="C363" t="s">
        <v>1370</v>
      </c>
      <c r="D363" t="s">
        <v>1371</v>
      </c>
      <c r="E363" t="s">
        <v>150</v>
      </c>
      <c r="F363" t="s">
        <v>1372</v>
      </c>
    </row>
    <row r="364" spans="1:6">
      <c r="A364" t="s">
        <v>223</v>
      </c>
      <c r="B364" t="s">
        <v>230</v>
      </c>
      <c r="C364" t="s">
        <v>1374</v>
      </c>
      <c r="D364" t="s">
        <v>1371</v>
      </c>
      <c r="E364" t="s">
        <v>150</v>
      </c>
      <c r="F364" t="s">
        <v>1375</v>
      </c>
    </row>
    <row r="365" spans="1:6">
      <c r="A365" t="s">
        <v>223</v>
      </c>
      <c r="B365" t="s">
        <v>232</v>
      </c>
      <c r="C365" t="s">
        <v>1374</v>
      </c>
      <c r="D365" t="s">
        <v>1371</v>
      </c>
      <c r="E365" t="s">
        <v>150</v>
      </c>
      <c r="F365" t="s">
        <v>1375</v>
      </c>
    </row>
    <row r="366" spans="1:6">
      <c r="A366" t="s">
        <v>223</v>
      </c>
      <c r="B366" t="s">
        <v>244</v>
      </c>
      <c r="C366" t="s">
        <v>1376</v>
      </c>
      <c r="D366" t="s">
        <v>901</v>
      </c>
      <c r="E366" t="s">
        <v>150</v>
      </c>
      <c r="F366" t="s">
        <v>126</v>
      </c>
    </row>
    <row r="367" spans="1:6">
      <c r="A367" t="s">
        <v>223</v>
      </c>
      <c r="B367" t="s">
        <v>257</v>
      </c>
      <c r="C367" t="s">
        <v>1376</v>
      </c>
      <c r="D367" t="s">
        <v>901</v>
      </c>
      <c r="E367" t="s">
        <v>150</v>
      </c>
      <c r="F367" t="s">
        <v>126</v>
      </c>
    </row>
    <row r="368" spans="1:6">
      <c r="A368" t="s">
        <v>223</v>
      </c>
      <c r="B368" t="s">
        <v>423</v>
      </c>
      <c r="C368" t="s">
        <v>1376</v>
      </c>
      <c r="D368" t="s">
        <v>901</v>
      </c>
      <c r="E368" t="s">
        <v>150</v>
      </c>
      <c r="F368" t="s">
        <v>126</v>
      </c>
    </row>
    <row r="369" spans="1:6">
      <c r="A369" t="s">
        <v>223</v>
      </c>
      <c r="B369" t="s">
        <v>1377</v>
      </c>
      <c r="C369" t="s">
        <v>1376</v>
      </c>
      <c r="D369" t="s">
        <v>901</v>
      </c>
      <c r="E369" t="s">
        <v>150</v>
      </c>
      <c r="F369" t="s">
        <v>126</v>
      </c>
    </row>
    <row r="370" spans="1:6">
      <c r="A370" t="s">
        <v>223</v>
      </c>
      <c r="B370" t="s">
        <v>1378</v>
      </c>
      <c r="C370" t="s">
        <v>1376</v>
      </c>
      <c r="D370" t="s">
        <v>901</v>
      </c>
      <c r="E370" t="s">
        <v>150</v>
      </c>
      <c r="F370" t="s">
        <v>126</v>
      </c>
    </row>
    <row r="371" spans="1:6">
      <c r="A371" t="s">
        <v>223</v>
      </c>
      <c r="B371" t="s">
        <v>1379</v>
      </c>
      <c r="C371" t="s">
        <v>1363</v>
      </c>
      <c r="D371" t="s">
        <v>902</v>
      </c>
      <c r="E371" t="s">
        <v>150</v>
      </c>
      <c r="F371" t="s">
        <v>126</v>
      </c>
    </row>
    <row r="372" spans="1:6">
      <c r="A372" t="s">
        <v>223</v>
      </c>
      <c r="B372" t="s">
        <v>1380</v>
      </c>
      <c r="C372" t="s">
        <v>1363</v>
      </c>
      <c r="D372" t="s">
        <v>902</v>
      </c>
      <c r="E372" t="s">
        <v>150</v>
      </c>
      <c r="F372" t="s">
        <v>126</v>
      </c>
    </row>
    <row r="373" spans="1:6">
      <c r="A373" t="s">
        <v>223</v>
      </c>
      <c r="B373" t="s">
        <v>1381</v>
      </c>
      <c r="C373" t="s">
        <v>1363</v>
      </c>
      <c r="D373" t="s">
        <v>902</v>
      </c>
      <c r="E373" t="s">
        <v>150</v>
      </c>
      <c r="F373" t="s">
        <v>126</v>
      </c>
    </row>
    <row r="374" spans="1:6">
      <c r="A374" t="s">
        <v>223</v>
      </c>
      <c r="B374" t="s">
        <v>300</v>
      </c>
      <c r="C374" t="s">
        <v>1363</v>
      </c>
      <c r="D374" t="s">
        <v>902</v>
      </c>
      <c r="E374" t="s">
        <v>150</v>
      </c>
      <c r="F374" t="s">
        <v>126</v>
      </c>
    </row>
    <row r="375" spans="1:6">
      <c r="A375" t="s">
        <v>223</v>
      </c>
      <c r="B375" t="s">
        <v>753</v>
      </c>
      <c r="C375" t="s">
        <v>1363</v>
      </c>
      <c r="D375" t="s">
        <v>902</v>
      </c>
      <c r="E375" t="s">
        <v>150</v>
      </c>
      <c r="F375" t="s">
        <v>126</v>
      </c>
    </row>
    <row r="376" spans="1:6">
      <c r="A376" t="s">
        <v>223</v>
      </c>
      <c r="B376" t="s">
        <v>259</v>
      </c>
      <c r="C376" t="s">
        <v>1382</v>
      </c>
      <c r="D376" t="s">
        <v>902</v>
      </c>
      <c r="E376" t="s">
        <v>150</v>
      </c>
      <c r="F376" t="s">
        <v>1383</v>
      </c>
    </row>
    <row r="377" spans="1:6">
      <c r="A377" t="s">
        <v>182</v>
      </c>
      <c r="B377" t="s">
        <v>1384</v>
      </c>
      <c r="C377" t="s">
        <v>1385</v>
      </c>
      <c r="D377" t="s">
        <v>159</v>
      </c>
      <c r="E377" t="s">
        <v>182</v>
      </c>
      <c r="F377" t="s">
        <v>1386</v>
      </c>
    </row>
    <row r="378" spans="1:6">
      <c r="A378" t="s">
        <v>182</v>
      </c>
      <c r="B378" t="s">
        <v>1387</v>
      </c>
      <c r="C378" t="s">
        <v>1385</v>
      </c>
      <c r="D378" t="s">
        <v>172</v>
      </c>
      <c r="E378" t="s">
        <v>182</v>
      </c>
      <c r="F378" t="s">
        <v>1386</v>
      </c>
    </row>
    <row r="379" spans="1:6">
      <c r="A379" t="s">
        <v>182</v>
      </c>
      <c r="B379" t="s">
        <v>1388</v>
      </c>
      <c r="C379" t="s">
        <v>1385</v>
      </c>
      <c r="D379" t="s">
        <v>193</v>
      </c>
      <c r="E379" t="s">
        <v>182</v>
      </c>
      <c r="F379" t="s">
        <v>1386</v>
      </c>
    </row>
    <row r="380" spans="1:6">
      <c r="A380" t="s">
        <v>182</v>
      </c>
      <c r="B380" t="s">
        <v>1389</v>
      </c>
      <c r="C380" t="s">
        <v>1385</v>
      </c>
      <c r="D380" t="s">
        <v>1371</v>
      </c>
      <c r="E380" t="s">
        <v>182</v>
      </c>
      <c r="F380" t="s">
        <v>1386</v>
      </c>
    </row>
    <row r="381" spans="1:6">
      <c r="A381" t="s">
        <v>182</v>
      </c>
      <c r="B381" t="s">
        <v>1390</v>
      </c>
      <c r="C381" t="s">
        <v>1385</v>
      </c>
      <c r="D381" t="s">
        <v>1391</v>
      </c>
      <c r="E381" t="s">
        <v>182</v>
      </c>
      <c r="F381" t="s">
        <v>1386</v>
      </c>
    </row>
    <row r="382" spans="1:6">
      <c r="A382" t="s">
        <v>182</v>
      </c>
      <c r="B382" t="s">
        <v>1392</v>
      </c>
      <c r="C382" t="s">
        <v>1385</v>
      </c>
      <c r="D382" t="s">
        <v>1393</v>
      </c>
      <c r="E382" t="s">
        <v>182</v>
      </c>
      <c r="F382" t="s">
        <v>1386</v>
      </c>
    </row>
    <row r="383" spans="1:6">
      <c r="A383" t="s">
        <v>182</v>
      </c>
      <c r="B383" t="s">
        <v>1394</v>
      </c>
      <c r="C383" t="s">
        <v>1385</v>
      </c>
      <c r="D383" t="s">
        <v>1395</v>
      </c>
      <c r="E383" t="s">
        <v>182</v>
      </c>
      <c r="F383" t="s">
        <v>1386</v>
      </c>
    </row>
    <row r="384" spans="1:6">
      <c r="A384" t="s">
        <v>182</v>
      </c>
      <c r="B384" t="s">
        <v>1396</v>
      </c>
      <c r="C384" t="s">
        <v>1385</v>
      </c>
      <c r="D384" t="s">
        <v>1397</v>
      </c>
      <c r="E384" t="s">
        <v>182</v>
      </c>
      <c r="F384" t="s">
        <v>1386</v>
      </c>
    </row>
    <row r="385" spans="1:6">
      <c r="A385" t="s">
        <v>182</v>
      </c>
      <c r="B385" t="s">
        <v>1384</v>
      </c>
      <c r="C385" t="s">
        <v>1398</v>
      </c>
      <c r="D385" t="s">
        <v>155</v>
      </c>
      <c r="E385" t="s">
        <v>150</v>
      </c>
      <c r="F385" t="s">
        <v>897</v>
      </c>
    </row>
    <row r="386" spans="1:6">
      <c r="A386" t="s">
        <v>182</v>
      </c>
      <c r="B386" t="s">
        <v>1387</v>
      </c>
      <c r="C386" t="s">
        <v>1398</v>
      </c>
      <c r="D386" t="s">
        <v>155</v>
      </c>
      <c r="E386" t="s">
        <v>150</v>
      </c>
      <c r="F386" t="s">
        <v>897</v>
      </c>
    </row>
    <row r="387" spans="1:6">
      <c r="A387" t="s">
        <v>182</v>
      </c>
      <c r="B387" t="s">
        <v>1388</v>
      </c>
      <c r="C387" t="s">
        <v>1398</v>
      </c>
      <c r="D387" t="s">
        <v>155</v>
      </c>
      <c r="E387" t="s">
        <v>150</v>
      </c>
      <c r="F387" t="s">
        <v>897</v>
      </c>
    </row>
    <row r="388" spans="1:6">
      <c r="A388" t="s">
        <v>182</v>
      </c>
      <c r="B388" t="s">
        <v>1389</v>
      </c>
      <c r="C388" t="s">
        <v>1398</v>
      </c>
      <c r="D388" t="s">
        <v>155</v>
      </c>
      <c r="E388" t="s">
        <v>150</v>
      </c>
      <c r="F388" t="s">
        <v>897</v>
      </c>
    </row>
    <row r="389" spans="1:6">
      <c r="A389" t="s">
        <v>182</v>
      </c>
      <c r="B389" t="s">
        <v>1390</v>
      </c>
      <c r="C389" t="s">
        <v>1398</v>
      </c>
      <c r="D389" t="s">
        <v>155</v>
      </c>
      <c r="E389" t="s">
        <v>150</v>
      </c>
      <c r="F389" t="s">
        <v>897</v>
      </c>
    </row>
    <row r="390" spans="1:6">
      <c r="A390" t="s">
        <v>182</v>
      </c>
      <c r="B390" t="s">
        <v>1392</v>
      </c>
      <c r="C390" t="s">
        <v>1398</v>
      </c>
      <c r="D390" t="s">
        <v>155</v>
      </c>
      <c r="E390" t="s">
        <v>150</v>
      </c>
      <c r="F390" t="s">
        <v>897</v>
      </c>
    </row>
    <row r="391" spans="1:6">
      <c r="A391" t="s">
        <v>182</v>
      </c>
      <c r="B391" t="s">
        <v>1394</v>
      </c>
      <c r="C391" t="s">
        <v>1398</v>
      </c>
      <c r="D391" t="s">
        <v>155</v>
      </c>
      <c r="E391" t="s">
        <v>150</v>
      </c>
      <c r="F391" t="s">
        <v>897</v>
      </c>
    </row>
    <row r="392" spans="1:6">
      <c r="A392" t="s">
        <v>182</v>
      </c>
      <c r="B392" t="s">
        <v>1396</v>
      </c>
      <c r="C392" t="s">
        <v>1398</v>
      </c>
      <c r="D392" t="s">
        <v>155</v>
      </c>
      <c r="E392" t="s">
        <v>150</v>
      </c>
      <c r="F392" t="s">
        <v>897</v>
      </c>
    </row>
    <row r="393" spans="1:6">
      <c r="A393" t="s">
        <v>179</v>
      </c>
      <c r="B393" t="s">
        <v>159</v>
      </c>
      <c r="C393" t="s">
        <v>1404</v>
      </c>
      <c r="D393" t="s">
        <v>155</v>
      </c>
      <c r="E393" t="s">
        <v>150</v>
      </c>
      <c r="F393" t="s">
        <v>1405</v>
      </c>
    </row>
    <row r="394" spans="1:6">
      <c r="A394" t="s">
        <v>179</v>
      </c>
      <c r="B394" t="s">
        <v>158</v>
      </c>
      <c r="C394" t="s">
        <v>1404</v>
      </c>
      <c r="D394" t="s">
        <v>155</v>
      </c>
      <c r="E394" t="s">
        <v>150</v>
      </c>
      <c r="F394" t="s">
        <v>1405</v>
      </c>
    </row>
    <row r="395" spans="1:6">
      <c r="A395" t="s">
        <v>179</v>
      </c>
      <c r="B395" t="s">
        <v>170</v>
      </c>
      <c r="C395" t="s">
        <v>1404</v>
      </c>
      <c r="D395" t="s">
        <v>155</v>
      </c>
      <c r="E395" t="s">
        <v>150</v>
      </c>
      <c r="F395" t="s">
        <v>1405</v>
      </c>
    </row>
    <row r="396" spans="1:6">
      <c r="A396" t="s">
        <v>179</v>
      </c>
      <c r="B396" t="s">
        <v>181</v>
      </c>
      <c r="C396" t="s">
        <v>1404</v>
      </c>
      <c r="D396" t="s">
        <v>155</v>
      </c>
      <c r="E396" t="s">
        <v>150</v>
      </c>
      <c r="F396" t="s">
        <v>1405</v>
      </c>
    </row>
    <row r="397" spans="1:6">
      <c r="A397" t="s">
        <v>179</v>
      </c>
      <c r="B397" t="s">
        <v>1406</v>
      </c>
      <c r="C397" t="s">
        <v>1404</v>
      </c>
      <c r="D397" t="s">
        <v>155</v>
      </c>
      <c r="E397" t="s">
        <v>150</v>
      </c>
      <c r="F397" t="s">
        <v>1405</v>
      </c>
    </row>
    <row r="398" spans="1:6">
      <c r="A398" t="s">
        <v>179</v>
      </c>
      <c r="B398" t="s">
        <v>1407</v>
      </c>
      <c r="C398" t="s">
        <v>1404</v>
      </c>
      <c r="D398" t="s">
        <v>155</v>
      </c>
      <c r="E398" t="s">
        <v>150</v>
      </c>
      <c r="F398" t="s">
        <v>1405</v>
      </c>
    </row>
    <row r="399" spans="1:6">
      <c r="A399" t="s">
        <v>179</v>
      </c>
      <c r="B399" t="s">
        <v>1408</v>
      </c>
      <c r="C399" t="s">
        <v>1404</v>
      </c>
      <c r="D399" t="s">
        <v>155</v>
      </c>
      <c r="E399" t="s">
        <v>150</v>
      </c>
      <c r="F399" t="s">
        <v>1405</v>
      </c>
    </row>
    <row r="400" spans="1:6">
      <c r="A400" t="s">
        <v>179</v>
      </c>
      <c r="B400" t="s">
        <v>1409</v>
      </c>
      <c r="C400" t="s">
        <v>1404</v>
      </c>
      <c r="D400" t="s">
        <v>155</v>
      </c>
      <c r="E400" t="s">
        <v>150</v>
      </c>
      <c r="F400" t="s">
        <v>1405</v>
      </c>
    </row>
    <row r="401" spans="1:6">
      <c r="A401" t="s">
        <v>150</v>
      </c>
      <c r="B401" t="s">
        <v>1344</v>
      </c>
      <c r="C401" t="s">
        <v>1345</v>
      </c>
    </row>
    <row r="402" spans="1:6">
      <c r="A402" t="s">
        <v>150</v>
      </c>
      <c r="B402" t="s">
        <v>1346</v>
      </c>
      <c r="C402" t="s">
        <v>1345</v>
      </c>
    </row>
    <row r="403" spans="1:6">
      <c r="A403" t="s">
        <v>150</v>
      </c>
      <c r="B403" t="s">
        <v>163</v>
      </c>
      <c r="C403" t="s">
        <v>1345</v>
      </c>
    </row>
    <row r="404" spans="1:6">
      <c r="A404" t="s">
        <v>150</v>
      </c>
      <c r="B404" t="s">
        <v>163</v>
      </c>
      <c r="C404" t="s">
        <v>1345</v>
      </c>
    </row>
    <row r="405" spans="1:6">
      <c r="A405" t="s">
        <v>150</v>
      </c>
      <c r="B405" t="s">
        <v>1347</v>
      </c>
      <c r="C405" t="s">
        <v>1345</v>
      </c>
    </row>
    <row r="406" spans="1:6">
      <c r="A406" t="s">
        <v>150</v>
      </c>
      <c r="B406" t="s">
        <v>1348</v>
      </c>
      <c r="C406" t="s">
        <v>1345</v>
      </c>
    </row>
    <row r="407" spans="1:6">
      <c r="A407" t="s">
        <v>150</v>
      </c>
      <c r="B407" t="s">
        <v>1349</v>
      </c>
      <c r="C407" t="s">
        <v>1345</v>
      </c>
    </row>
    <row r="408" spans="1:6">
      <c r="A408" t="s">
        <v>223</v>
      </c>
      <c r="B408" t="s">
        <v>1368</v>
      </c>
      <c r="C408" t="s">
        <v>1345</v>
      </c>
    </row>
    <row r="409" spans="1:6">
      <c r="A409" t="s">
        <v>223</v>
      </c>
      <c r="B409" t="s">
        <v>1369</v>
      </c>
      <c r="C409" t="s">
        <v>1345</v>
      </c>
    </row>
    <row r="410" spans="1:6">
      <c r="A410" t="s">
        <v>191</v>
      </c>
      <c r="B410" t="s">
        <v>1410</v>
      </c>
      <c r="C410" t="s">
        <v>1411</v>
      </c>
      <c r="D410" t="s">
        <v>1410</v>
      </c>
      <c r="E410" t="s">
        <v>191</v>
      </c>
      <c r="F410" t="s">
        <v>1386</v>
      </c>
    </row>
    <row r="411" spans="1:6">
      <c r="A411" t="s">
        <v>191</v>
      </c>
      <c r="B411" t="s">
        <v>1412</v>
      </c>
      <c r="C411" t="s">
        <v>1411</v>
      </c>
      <c r="D411" t="s">
        <v>1412</v>
      </c>
      <c r="E411" t="s">
        <v>191</v>
      </c>
      <c r="F411" t="s">
        <v>1386</v>
      </c>
    </row>
    <row r="412" spans="1:6">
      <c r="A412" t="s">
        <v>191</v>
      </c>
      <c r="B412" t="s">
        <v>1413</v>
      </c>
      <c r="C412" t="s">
        <v>1411</v>
      </c>
      <c r="D412" t="s">
        <v>1413</v>
      </c>
      <c r="E412" t="s">
        <v>191</v>
      </c>
      <c r="F412" t="s">
        <v>1386</v>
      </c>
    </row>
    <row r="413" spans="1:6">
      <c r="A413" t="s">
        <v>191</v>
      </c>
      <c r="B413" t="s">
        <v>1414</v>
      </c>
      <c r="C413" t="s">
        <v>1411</v>
      </c>
      <c r="D413" t="s">
        <v>1414</v>
      </c>
      <c r="E413" t="s">
        <v>191</v>
      </c>
      <c r="F413" t="s">
        <v>1386</v>
      </c>
    </row>
    <row r="414" spans="1:6">
      <c r="A414" t="s">
        <v>191</v>
      </c>
      <c r="B414" t="s">
        <v>1415</v>
      </c>
      <c r="C414" t="s">
        <v>1411</v>
      </c>
      <c r="D414" t="s">
        <v>1415</v>
      </c>
      <c r="E414" t="s">
        <v>191</v>
      </c>
      <c r="F414" t="s">
        <v>1386</v>
      </c>
    </row>
    <row r="415" spans="1:6">
      <c r="A415" t="s">
        <v>191</v>
      </c>
      <c r="B415" t="s">
        <v>1416</v>
      </c>
      <c r="C415" t="s">
        <v>1411</v>
      </c>
      <c r="D415" t="s">
        <v>1416</v>
      </c>
      <c r="E415" t="s">
        <v>191</v>
      </c>
      <c r="F415" t="s">
        <v>1386</v>
      </c>
    </row>
    <row r="416" spans="1:6">
      <c r="A416" t="s">
        <v>191</v>
      </c>
      <c r="B416" t="s">
        <v>1417</v>
      </c>
      <c r="C416" t="s">
        <v>1411</v>
      </c>
      <c r="D416" t="s">
        <v>1417</v>
      </c>
      <c r="E416" t="s">
        <v>191</v>
      </c>
      <c r="F416" t="s">
        <v>1386</v>
      </c>
    </row>
    <row r="417" spans="1:6">
      <c r="A417" t="s">
        <v>191</v>
      </c>
      <c r="B417" t="s">
        <v>1418</v>
      </c>
      <c r="C417" t="s">
        <v>1411</v>
      </c>
      <c r="D417" t="s">
        <v>1418</v>
      </c>
      <c r="E417" t="s">
        <v>191</v>
      </c>
      <c r="F417" t="s">
        <v>1386</v>
      </c>
    </row>
    <row r="418" spans="1:6">
      <c r="A418" t="s">
        <v>191</v>
      </c>
      <c r="B418" t="s">
        <v>1419</v>
      </c>
      <c r="C418" t="s">
        <v>1411</v>
      </c>
      <c r="D418" t="s">
        <v>1419</v>
      </c>
      <c r="E418" t="s">
        <v>191</v>
      </c>
      <c r="F418" t="s">
        <v>1386</v>
      </c>
    </row>
    <row r="419" spans="1:6">
      <c r="A419" t="s">
        <v>191</v>
      </c>
      <c r="B419" t="s">
        <v>1420</v>
      </c>
      <c r="C419" t="s">
        <v>1411</v>
      </c>
      <c r="D419" t="s">
        <v>1420</v>
      </c>
      <c r="E419" t="s">
        <v>191</v>
      </c>
      <c r="F419" t="s">
        <v>1386</v>
      </c>
    </row>
    <row r="420" spans="1:6">
      <c r="A420" t="s">
        <v>191</v>
      </c>
      <c r="B420" t="s">
        <v>1421</v>
      </c>
      <c r="C420" t="s">
        <v>1411</v>
      </c>
      <c r="D420" t="s">
        <v>1421</v>
      </c>
      <c r="E420" t="s">
        <v>191</v>
      </c>
      <c r="F420" t="s">
        <v>1386</v>
      </c>
    </row>
    <row r="421" spans="1:6">
      <c r="A421" t="s">
        <v>191</v>
      </c>
      <c r="B421" t="s">
        <v>1422</v>
      </c>
      <c r="C421" t="s">
        <v>1411</v>
      </c>
      <c r="D421" t="s">
        <v>1422</v>
      </c>
      <c r="E421" t="s">
        <v>191</v>
      </c>
      <c r="F421" t="s">
        <v>1386</v>
      </c>
    </row>
    <row r="422" spans="1:6">
      <c r="A422" t="s">
        <v>191</v>
      </c>
      <c r="B422" t="s">
        <v>1423</v>
      </c>
      <c r="C422" t="s">
        <v>1411</v>
      </c>
      <c r="D422" t="s">
        <v>1423</v>
      </c>
      <c r="E422" t="s">
        <v>191</v>
      </c>
      <c r="F422" t="s">
        <v>1386</v>
      </c>
    </row>
    <row r="423" spans="1:6">
      <c r="A423" t="s">
        <v>191</v>
      </c>
      <c r="B423" t="s">
        <v>1424</v>
      </c>
      <c r="C423" t="s">
        <v>1411</v>
      </c>
      <c r="D423" t="s">
        <v>1424</v>
      </c>
      <c r="E423" t="s">
        <v>191</v>
      </c>
      <c r="F423" t="s">
        <v>1386</v>
      </c>
    </row>
    <row r="424" spans="1:6">
      <c r="A424" t="s">
        <v>191</v>
      </c>
      <c r="B424" t="s">
        <v>1425</v>
      </c>
      <c r="C424" t="s">
        <v>1411</v>
      </c>
      <c r="D424" t="s">
        <v>1425</v>
      </c>
      <c r="E424" t="s">
        <v>191</v>
      </c>
      <c r="F424" t="s">
        <v>1386</v>
      </c>
    </row>
    <row r="425" spans="1:6">
      <c r="A425" t="s">
        <v>191</v>
      </c>
      <c r="B425" t="s">
        <v>1426</v>
      </c>
      <c r="C425" t="s">
        <v>1411</v>
      </c>
      <c r="D425" t="s">
        <v>1426</v>
      </c>
      <c r="E425" t="s">
        <v>191</v>
      </c>
      <c r="F425" t="s">
        <v>1386</v>
      </c>
    </row>
    <row r="426" spans="1:6">
      <c r="A426" t="s">
        <v>191</v>
      </c>
      <c r="B426" t="s">
        <v>1427</v>
      </c>
      <c r="C426" t="s">
        <v>1411</v>
      </c>
      <c r="D426" t="s">
        <v>1427</v>
      </c>
      <c r="E426" t="s">
        <v>191</v>
      </c>
      <c r="F426" t="s">
        <v>1386</v>
      </c>
    </row>
    <row r="427" spans="1:6">
      <c r="A427" t="s">
        <v>191</v>
      </c>
      <c r="B427" t="s">
        <v>1428</v>
      </c>
      <c r="C427" t="s">
        <v>1411</v>
      </c>
      <c r="D427" t="s">
        <v>1428</v>
      </c>
      <c r="E427" t="s">
        <v>191</v>
      </c>
      <c r="F427" t="s">
        <v>1386</v>
      </c>
    </row>
    <row r="428" spans="1:6">
      <c r="A428" t="s">
        <v>191</v>
      </c>
      <c r="B428" t="s">
        <v>1429</v>
      </c>
      <c r="C428" t="s">
        <v>1411</v>
      </c>
      <c r="D428" t="s">
        <v>1429</v>
      </c>
      <c r="E428" t="s">
        <v>191</v>
      </c>
      <c r="F428" t="s">
        <v>1386</v>
      </c>
    </row>
    <row r="429" spans="1:6">
      <c r="A429" t="s">
        <v>191</v>
      </c>
      <c r="B429" t="s">
        <v>1430</v>
      </c>
      <c r="C429" t="s">
        <v>1411</v>
      </c>
      <c r="D429" t="s">
        <v>1430</v>
      </c>
      <c r="E429" t="s">
        <v>191</v>
      </c>
      <c r="F429" t="s">
        <v>1386</v>
      </c>
    </row>
    <row r="430" spans="1:6">
      <c r="A430" t="s">
        <v>191</v>
      </c>
      <c r="B430" t="s">
        <v>1431</v>
      </c>
      <c r="C430" t="s">
        <v>1411</v>
      </c>
      <c r="D430" t="s">
        <v>1431</v>
      </c>
      <c r="E430" t="s">
        <v>191</v>
      </c>
      <c r="F430" t="s">
        <v>1386</v>
      </c>
    </row>
    <row r="431" spans="1:6">
      <c r="A431" t="s">
        <v>191</v>
      </c>
      <c r="B431" t="s">
        <v>1432</v>
      </c>
      <c r="C431" t="s">
        <v>1411</v>
      </c>
      <c r="D431" t="s">
        <v>1432</v>
      </c>
      <c r="E431" t="s">
        <v>191</v>
      </c>
      <c r="F431" t="s">
        <v>1386</v>
      </c>
    </row>
    <row r="432" spans="1:6">
      <c r="A432" t="s">
        <v>191</v>
      </c>
      <c r="B432" t="s">
        <v>1433</v>
      </c>
      <c r="C432" t="s">
        <v>1411</v>
      </c>
      <c r="D432" t="s">
        <v>1433</v>
      </c>
      <c r="E432" t="s">
        <v>191</v>
      </c>
      <c r="F432" t="s">
        <v>1386</v>
      </c>
    </row>
    <row r="433" spans="1:6">
      <c r="A433" t="s">
        <v>191</v>
      </c>
      <c r="B433" t="s">
        <v>1434</v>
      </c>
      <c r="C433" t="s">
        <v>1411</v>
      </c>
      <c r="D433" t="s">
        <v>1434</v>
      </c>
      <c r="E433" t="s">
        <v>191</v>
      </c>
      <c r="F433" t="s">
        <v>1386</v>
      </c>
    </row>
    <row r="434" spans="1:6">
      <c r="A434" t="s">
        <v>191</v>
      </c>
      <c r="B434" t="s">
        <v>1435</v>
      </c>
      <c r="C434" t="s">
        <v>1411</v>
      </c>
      <c r="D434" t="s">
        <v>1435</v>
      </c>
      <c r="E434" t="s">
        <v>191</v>
      </c>
      <c r="F434" t="s">
        <v>1386</v>
      </c>
    </row>
    <row r="435" spans="1:6">
      <c r="A435" t="s">
        <v>191</v>
      </c>
      <c r="B435" t="s">
        <v>1436</v>
      </c>
      <c r="C435" t="s">
        <v>1411</v>
      </c>
      <c r="D435" t="s">
        <v>1436</v>
      </c>
      <c r="E435" t="s">
        <v>191</v>
      </c>
      <c r="F435" t="s">
        <v>1386</v>
      </c>
    </row>
    <row r="436" spans="1:6">
      <c r="A436" t="s">
        <v>191</v>
      </c>
      <c r="B436" t="s">
        <v>1437</v>
      </c>
      <c r="C436" t="s">
        <v>1411</v>
      </c>
      <c r="D436" t="s">
        <v>1437</v>
      </c>
      <c r="E436" t="s">
        <v>191</v>
      </c>
      <c r="F436" t="s">
        <v>1386</v>
      </c>
    </row>
    <row r="437" spans="1:6">
      <c r="A437" t="s">
        <v>191</v>
      </c>
      <c r="B437" t="s">
        <v>1438</v>
      </c>
      <c r="C437" t="s">
        <v>1411</v>
      </c>
      <c r="D437" t="s">
        <v>1438</v>
      </c>
      <c r="E437" t="s">
        <v>191</v>
      </c>
      <c r="F437" t="s">
        <v>1386</v>
      </c>
    </row>
    <row r="438" spans="1:6">
      <c r="A438" t="s">
        <v>191</v>
      </c>
      <c r="B438" t="s">
        <v>1439</v>
      </c>
      <c r="C438" t="s">
        <v>1411</v>
      </c>
      <c r="D438" t="s">
        <v>1439</v>
      </c>
      <c r="E438" t="s">
        <v>191</v>
      </c>
      <c r="F438" t="s">
        <v>1386</v>
      </c>
    </row>
    <row r="439" spans="1:6">
      <c r="A439" t="s">
        <v>191</v>
      </c>
      <c r="B439" t="s">
        <v>1440</v>
      </c>
      <c r="C439" t="s">
        <v>1411</v>
      </c>
      <c r="D439" t="s">
        <v>1440</v>
      </c>
      <c r="E439" t="s">
        <v>191</v>
      </c>
      <c r="F439" t="s">
        <v>1386</v>
      </c>
    </row>
    <row r="440" spans="1:6">
      <c r="A440" t="s">
        <v>191</v>
      </c>
      <c r="B440" t="s">
        <v>1441</v>
      </c>
      <c r="C440" t="s">
        <v>1411</v>
      </c>
      <c r="D440" t="s">
        <v>1441</v>
      </c>
      <c r="E440" t="s">
        <v>191</v>
      </c>
      <c r="F440" t="s">
        <v>1386</v>
      </c>
    </row>
    <row r="441" spans="1:6">
      <c r="A441" t="s">
        <v>191</v>
      </c>
      <c r="B441" t="s">
        <v>1442</v>
      </c>
      <c r="C441" t="s">
        <v>1411</v>
      </c>
      <c r="D441" t="s">
        <v>1442</v>
      </c>
      <c r="E441" t="s">
        <v>191</v>
      </c>
      <c r="F441" t="s">
        <v>1386</v>
      </c>
    </row>
    <row r="442" spans="1:6">
      <c r="A442" t="s">
        <v>191</v>
      </c>
      <c r="B442" t="s">
        <v>1443</v>
      </c>
      <c r="C442" t="s">
        <v>1411</v>
      </c>
      <c r="D442" t="s">
        <v>1443</v>
      </c>
      <c r="E442" t="s">
        <v>191</v>
      </c>
      <c r="F442" t="s">
        <v>1386</v>
      </c>
    </row>
    <row r="443" spans="1:6">
      <c r="A443" t="s">
        <v>191</v>
      </c>
      <c r="B443" t="s">
        <v>1444</v>
      </c>
      <c r="C443" t="s">
        <v>1411</v>
      </c>
      <c r="D443" t="s">
        <v>1444</v>
      </c>
      <c r="E443" t="s">
        <v>191</v>
      </c>
      <c r="F443" t="s">
        <v>1386</v>
      </c>
    </row>
    <row r="444" spans="1:6">
      <c r="A444" t="s">
        <v>191</v>
      </c>
      <c r="B444" t="s">
        <v>1445</v>
      </c>
      <c r="C444" t="s">
        <v>1411</v>
      </c>
      <c r="D444" t="s">
        <v>1445</v>
      </c>
      <c r="E444" t="s">
        <v>191</v>
      </c>
      <c r="F444" t="s">
        <v>1386</v>
      </c>
    </row>
    <row r="445" spans="1:6">
      <c r="A445" t="s">
        <v>191</v>
      </c>
      <c r="B445" t="s">
        <v>1446</v>
      </c>
      <c r="C445" t="s">
        <v>1411</v>
      </c>
      <c r="D445" t="s">
        <v>1446</v>
      </c>
      <c r="E445" t="s">
        <v>191</v>
      </c>
      <c r="F445" t="s">
        <v>1386</v>
      </c>
    </row>
    <row r="446" spans="1:6">
      <c r="A446" t="s">
        <v>191</v>
      </c>
      <c r="B446" t="s">
        <v>1447</v>
      </c>
      <c r="C446" t="s">
        <v>1411</v>
      </c>
      <c r="D446" t="s">
        <v>1447</v>
      </c>
      <c r="E446" t="s">
        <v>191</v>
      </c>
      <c r="F446" t="s">
        <v>1386</v>
      </c>
    </row>
    <row r="447" spans="1:6">
      <c r="A447" t="s">
        <v>191</v>
      </c>
      <c r="B447" t="s">
        <v>1448</v>
      </c>
      <c r="C447" t="s">
        <v>1411</v>
      </c>
      <c r="D447" t="s">
        <v>1448</v>
      </c>
      <c r="E447" t="s">
        <v>191</v>
      </c>
      <c r="F447" t="s">
        <v>1386</v>
      </c>
    </row>
    <row r="448" spans="1:6">
      <c r="A448" t="s">
        <v>191</v>
      </c>
      <c r="B448" t="s">
        <v>1449</v>
      </c>
      <c r="C448" t="s">
        <v>1411</v>
      </c>
      <c r="D448" t="s">
        <v>1449</v>
      </c>
      <c r="E448" t="s">
        <v>191</v>
      </c>
      <c r="F448" t="s">
        <v>1386</v>
      </c>
    </row>
    <row r="449" spans="1:6">
      <c r="A449" t="s">
        <v>191</v>
      </c>
      <c r="B449" t="s">
        <v>1450</v>
      </c>
      <c r="C449" t="s">
        <v>1411</v>
      </c>
      <c r="D449" t="s">
        <v>1450</v>
      </c>
      <c r="E449" t="s">
        <v>191</v>
      </c>
      <c r="F449" t="s">
        <v>1386</v>
      </c>
    </row>
    <row r="450" spans="1:6">
      <c r="A450" t="s">
        <v>191</v>
      </c>
      <c r="B450" t="s">
        <v>1451</v>
      </c>
      <c r="C450" t="s">
        <v>1411</v>
      </c>
      <c r="D450" t="s">
        <v>1451</v>
      </c>
      <c r="E450" t="s">
        <v>191</v>
      </c>
      <c r="F450" t="s">
        <v>1386</v>
      </c>
    </row>
    <row r="451" spans="1:6">
      <c r="A451" t="s">
        <v>191</v>
      </c>
      <c r="B451" t="s">
        <v>1452</v>
      </c>
      <c r="C451" t="s">
        <v>1411</v>
      </c>
      <c r="D451" t="s">
        <v>1452</v>
      </c>
      <c r="E451" t="s">
        <v>191</v>
      </c>
      <c r="F451" t="s">
        <v>1386</v>
      </c>
    </row>
    <row r="452" spans="1:6">
      <c r="A452" t="s">
        <v>191</v>
      </c>
      <c r="B452" t="s">
        <v>1453</v>
      </c>
      <c r="C452" t="s">
        <v>1411</v>
      </c>
      <c r="D452" t="s">
        <v>1453</v>
      </c>
      <c r="E452" t="s">
        <v>191</v>
      </c>
      <c r="F452" t="s">
        <v>1386</v>
      </c>
    </row>
    <row r="453" spans="1:6">
      <c r="A453" t="s">
        <v>191</v>
      </c>
      <c r="B453" t="s">
        <v>1454</v>
      </c>
      <c r="C453" t="s">
        <v>1411</v>
      </c>
      <c r="D453" t="s">
        <v>1454</v>
      </c>
      <c r="E453" t="s">
        <v>191</v>
      </c>
      <c r="F453" t="s">
        <v>1386</v>
      </c>
    </row>
    <row r="454" spans="1:6">
      <c r="A454" t="s">
        <v>191</v>
      </c>
      <c r="B454" t="s">
        <v>1455</v>
      </c>
      <c r="C454" t="s">
        <v>1411</v>
      </c>
      <c r="D454" t="s">
        <v>1455</v>
      </c>
      <c r="E454" t="s">
        <v>191</v>
      </c>
      <c r="F454" t="s">
        <v>1386</v>
      </c>
    </row>
    <row r="455" spans="1:6">
      <c r="A455" t="s">
        <v>191</v>
      </c>
      <c r="B455" t="s">
        <v>1456</v>
      </c>
      <c r="C455" t="s">
        <v>1411</v>
      </c>
      <c r="D455" t="s">
        <v>1456</v>
      </c>
      <c r="E455" t="s">
        <v>191</v>
      </c>
      <c r="F455" t="s">
        <v>1386</v>
      </c>
    </row>
    <row r="456" spans="1:6">
      <c r="A456" t="s">
        <v>191</v>
      </c>
      <c r="B456" t="s">
        <v>1457</v>
      </c>
      <c r="C456" t="s">
        <v>1411</v>
      </c>
      <c r="D456" t="s">
        <v>1457</v>
      </c>
      <c r="E456" t="s">
        <v>191</v>
      </c>
      <c r="F456" t="s">
        <v>1386</v>
      </c>
    </row>
    <row r="457" spans="1:6">
      <c r="A457" t="s">
        <v>191</v>
      </c>
      <c r="B457" t="s">
        <v>1458</v>
      </c>
      <c r="C457" t="s">
        <v>1411</v>
      </c>
      <c r="D457" t="s">
        <v>1458</v>
      </c>
      <c r="E457" t="s">
        <v>191</v>
      </c>
      <c r="F457" t="s">
        <v>1386</v>
      </c>
    </row>
    <row r="458" spans="1:6">
      <c r="A458" t="s">
        <v>191</v>
      </c>
      <c r="B458" t="s">
        <v>1459</v>
      </c>
      <c r="C458" t="s">
        <v>1411</v>
      </c>
      <c r="D458" t="s">
        <v>1459</v>
      </c>
      <c r="E458" t="s">
        <v>191</v>
      </c>
      <c r="F458" t="s">
        <v>1386</v>
      </c>
    </row>
    <row r="459" spans="1:6">
      <c r="A459" t="s">
        <v>191</v>
      </c>
      <c r="B459" t="s">
        <v>1460</v>
      </c>
      <c r="C459" t="s">
        <v>1411</v>
      </c>
      <c r="D459" t="s">
        <v>1460</v>
      </c>
      <c r="E459" t="s">
        <v>191</v>
      </c>
      <c r="F459" t="s">
        <v>1386</v>
      </c>
    </row>
    <row r="460" spans="1:6">
      <c r="A460" t="s">
        <v>191</v>
      </c>
      <c r="B460" t="s">
        <v>1461</v>
      </c>
      <c r="C460" t="s">
        <v>1411</v>
      </c>
      <c r="D460" t="s">
        <v>1461</v>
      </c>
      <c r="E460" t="s">
        <v>191</v>
      </c>
      <c r="F460" t="s">
        <v>1386</v>
      </c>
    </row>
    <row r="461" spans="1:6">
      <c r="A461" t="s">
        <v>191</v>
      </c>
      <c r="B461" t="s">
        <v>1462</v>
      </c>
      <c r="C461" t="s">
        <v>1411</v>
      </c>
      <c r="D461" t="s">
        <v>1462</v>
      </c>
      <c r="E461" t="s">
        <v>191</v>
      </c>
      <c r="F461" t="s">
        <v>1386</v>
      </c>
    </row>
    <row r="462" spans="1:6">
      <c r="A462" t="s">
        <v>191</v>
      </c>
      <c r="B462" t="s">
        <v>1463</v>
      </c>
      <c r="C462" t="s">
        <v>1411</v>
      </c>
      <c r="D462" t="s">
        <v>1463</v>
      </c>
      <c r="E462" t="s">
        <v>191</v>
      </c>
      <c r="F462" t="s">
        <v>1386</v>
      </c>
    </row>
    <row r="463" spans="1:6">
      <c r="A463" t="s">
        <v>191</v>
      </c>
      <c r="B463" t="s">
        <v>1464</v>
      </c>
      <c r="C463" t="s">
        <v>1411</v>
      </c>
      <c r="D463" t="s">
        <v>1464</v>
      </c>
      <c r="E463" t="s">
        <v>191</v>
      </c>
      <c r="F463" t="s">
        <v>1386</v>
      </c>
    </row>
    <row r="464" spans="1:6">
      <c r="A464" t="s">
        <v>191</v>
      </c>
      <c r="B464" t="s">
        <v>1465</v>
      </c>
      <c r="C464" t="s">
        <v>1411</v>
      </c>
      <c r="D464" t="s">
        <v>1465</v>
      </c>
      <c r="E464" t="s">
        <v>191</v>
      </c>
      <c r="F464" t="s">
        <v>1386</v>
      </c>
    </row>
    <row r="465" spans="1:6">
      <c r="A465" t="s">
        <v>191</v>
      </c>
      <c r="B465" t="s">
        <v>1466</v>
      </c>
      <c r="C465" t="s">
        <v>1411</v>
      </c>
      <c r="D465" t="s">
        <v>1466</v>
      </c>
      <c r="E465" t="s">
        <v>191</v>
      </c>
      <c r="F465" t="s">
        <v>1386</v>
      </c>
    </row>
    <row r="466" spans="1:6">
      <c r="A466" t="s">
        <v>191</v>
      </c>
      <c r="B466" t="s">
        <v>1467</v>
      </c>
      <c r="C466" t="s">
        <v>1411</v>
      </c>
      <c r="D466" t="s">
        <v>1467</v>
      </c>
      <c r="E466" t="s">
        <v>191</v>
      </c>
      <c r="F466" t="s">
        <v>1386</v>
      </c>
    </row>
    <row r="467" spans="1:6">
      <c r="A467" t="s">
        <v>191</v>
      </c>
      <c r="B467" t="s">
        <v>1468</v>
      </c>
      <c r="C467" t="s">
        <v>1411</v>
      </c>
      <c r="D467" t="s">
        <v>1468</v>
      </c>
      <c r="E467" t="s">
        <v>191</v>
      </c>
      <c r="F467" t="s">
        <v>1386</v>
      </c>
    </row>
    <row r="468" spans="1:6">
      <c r="A468" t="s">
        <v>191</v>
      </c>
      <c r="B468" t="s">
        <v>1469</v>
      </c>
      <c r="C468" t="s">
        <v>1411</v>
      </c>
      <c r="D468" t="s">
        <v>1469</v>
      </c>
      <c r="E468" t="s">
        <v>191</v>
      </c>
      <c r="F468" t="s">
        <v>1386</v>
      </c>
    </row>
    <row r="469" spans="1:6">
      <c r="A469" t="s">
        <v>191</v>
      </c>
      <c r="B469" t="s">
        <v>1470</v>
      </c>
      <c r="C469" t="s">
        <v>1411</v>
      </c>
      <c r="D469" t="s">
        <v>1470</v>
      </c>
      <c r="E469" t="s">
        <v>191</v>
      </c>
      <c r="F469" t="s">
        <v>1386</v>
      </c>
    </row>
    <row r="470" spans="1:6">
      <c r="A470" t="s">
        <v>191</v>
      </c>
      <c r="B470" t="s">
        <v>1471</v>
      </c>
      <c r="C470" t="s">
        <v>1411</v>
      </c>
      <c r="D470" t="s">
        <v>1471</v>
      </c>
      <c r="E470" t="s">
        <v>191</v>
      </c>
      <c r="F470" t="s">
        <v>1386</v>
      </c>
    </row>
    <row r="471" spans="1:6">
      <c r="A471" t="s">
        <v>191</v>
      </c>
      <c r="B471" t="s">
        <v>1472</v>
      </c>
      <c r="C471" t="s">
        <v>1411</v>
      </c>
      <c r="D471" t="s">
        <v>1472</v>
      </c>
      <c r="E471" t="s">
        <v>191</v>
      </c>
      <c r="F471" t="s">
        <v>1386</v>
      </c>
    </row>
    <row r="472" spans="1:6">
      <c r="A472" t="s">
        <v>191</v>
      </c>
      <c r="B472" t="s">
        <v>1473</v>
      </c>
      <c r="C472" t="s">
        <v>1411</v>
      </c>
      <c r="D472" t="s">
        <v>1473</v>
      </c>
      <c r="E472" t="s">
        <v>191</v>
      </c>
      <c r="F472" t="s">
        <v>1386</v>
      </c>
    </row>
    <row r="473" spans="1:6">
      <c r="A473" t="s">
        <v>191</v>
      </c>
      <c r="B473" t="s">
        <v>1474</v>
      </c>
      <c r="C473" t="s">
        <v>1411</v>
      </c>
      <c r="D473" t="s">
        <v>1474</v>
      </c>
      <c r="E473" t="s">
        <v>191</v>
      </c>
      <c r="F473" t="s">
        <v>1386</v>
      </c>
    </row>
    <row r="474" spans="1:6">
      <c r="A474" t="s">
        <v>191</v>
      </c>
      <c r="B474" t="s">
        <v>757</v>
      </c>
      <c r="C474" t="s">
        <v>1411</v>
      </c>
      <c r="D474" t="s">
        <v>1475</v>
      </c>
      <c r="E474" t="s">
        <v>191</v>
      </c>
      <c r="F474" t="s">
        <v>1386</v>
      </c>
    </row>
    <row r="475" spans="1:6">
      <c r="A475" t="s">
        <v>191</v>
      </c>
      <c r="B475" t="s">
        <v>758</v>
      </c>
      <c r="C475" t="s">
        <v>1411</v>
      </c>
      <c r="D475" t="s">
        <v>1476</v>
      </c>
      <c r="E475" t="s">
        <v>191</v>
      </c>
      <c r="F475" t="s">
        <v>1386</v>
      </c>
    </row>
    <row r="476" spans="1:6">
      <c r="A476" t="s">
        <v>191</v>
      </c>
      <c r="B476" t="s">
        <v>759</v>
      </c>
      <c r="C476" t="s">
        <v>1411</v>
      </c>
      <c r="D476" t="s">
        <v>1477</v>
      </c>
      <c r="E476" t="s">
        <v>191</v>
      </c>
      <c r="F476" t="s">
        <v>1386</v>
      </c>
    </row>
    <row r="477" spans="1:6">
      <c r="A477" t="s">
        <v>191</v>
      </c>
      <c r="B477" t="s">
        <v>775</v>
      </c>
      <c r="C477" t="s">
        <v>1411</v>
      </c>
      <c r="D477" t="s">
        <v>1478</v>
      </c>
      <c r="E477" t="s">
        <v>191</v>
      </c>
      <c r="F477" t="s">
        <v>1386</v>
      </c>
    </row>
    <row r="478" spans="1:6">
      <c r="A478" t="s">
        <v>191</v>
      </c>
      <c r="B478" t="s">
        <v>776</v>
      </c>
      <c r="C478" t="s">
        <v>1411</v>
      </c>
      <c r="D478" t="s">
        <v>1479</v>
      </c>
      <c r="E478" t="s">
        <v>191</v>
      </c>
      <c r="F478" t="s">
        <v>1386</v>
      </c>
    </row>
    <row r="479" spans="1:6">
      <c r="A479" t="s">
        <v>191</v>
      </c>
      <c r="B479" t="s">
        <v>800</v>
      </c>
      <c r="C479" t="s">
        <v>1411</v>
      </c>
      <c r="D479" t="s">
        <v>1480</v>
      </c>
      <c r="E479" t="s">
        <v>191</v>
      </c>
      <c r="F479" t="s">
        <v>1386</v>
      </c>
    </row>
    <row r="480" spans="1:6">
      <c r="A480" t="s">
        <v>191</v>
      </c>
      <c r="B480" t="s">
        <v>801</v>
      </c>
      <c r="C480" t="s">
        <v>1411</v>
      </c>
      <c r="D480" t="s">
        <v>1481</v>
      </c>
      <c r="E480" t="s">
        <v>191</v>
      </c>
      <c r="F480" t="s">
        <v>1386</v>
      </c>
    </row>
    <row r="481" spans="1:6">
      <c r="A481" t="s">
        <v>191</v>
      </c>
      <c r="B481" t="s">
        <v>802</v>
      </c>
      <c r="C481" t="s">
        <v>1411</v>
      </c>
      <c r="D481" t="s">
        <v>1482</v>
      </c>
      <c r="E481" t="s">
        <v>191</v>
      </c>
      <c r="F481" t="s">
        <v>1386</v>
      </c>
    </row>
    <row r="482" spans="1:6">
      <c r="A482" t="s">
        <v>191</v>
      </c>
      <c r="B482" t="s">
        <v>803</v>
      </c>
      <c r="C482" t="s">
        <v>1411</v>
      </c>
      <c r="D482" t="s">
        <v>1483</v>
      </c>
      <c r="E482" t="s">
        <v>191</v>
      </c>
      <c r="F482" t="s">
        <v>1386</v>
      </c>
    </row>
    <row r="483" spans="1:6">
      <c r="A483" t="s">
        <v>191</v>
      </c>
      <c r="B483" t="s">
        <v>804</v>
      </c>
      <c r="C483" t="s">
        <v>1411</v>
      </c>
      <c r="D483" t="s">
        <v>1484</v>
      </c>
      <c r="E483" t="s">
        <v>191</v>
      </c>
      <c r="F483" t="s">
        <v>1386</v>
      </c>
    </row>
    <row r="484" spans="1:6">
      <c r="A484" t="s">
        <v>191</v>
      </c>
      <c r="B484" t="s">
        <v>805</v>
      </c>
      <c r="C484" t="s">
        <v>1411</v>
      </c>
      <c r="D484" t="s">
        <v>1485</v>
      </c>
      <c r="E484" t="s">
        <v>191</v>
      </c>
      <c r="F484" t="s">
        <v>1386</v>
      </c>
    </row>
    <row r="485" spans="1:6">
      <c r="A485" t="s">
        <v>191</v>
      </c>
      <c r="B485" t="s">
        <v>806</v>
      </c>
      <c r="C485" t="s">
        <v>1411</v>
      </c>
      <c r="D485" t="s">
        <v>1486</v>
      </c>
      <c r="E485" t="s">
        <v>191</v>
      </c>
      <c r="F485" t="s">
        <v>1386</v>
      </c>
    </row>
    <row r="486" spans="1:6">
      <c r="A486" t="s">
        <v>191</v>
      </c>
      <c r="B486" t="s">
        <v>807</v>
      </c>
      <c r="C486" t="s">
        <v>1411</v>
      </c>
      <c r="D486" t="s">
        <v>1487</v>
      </c>
      <c r="E486" t="s">
        <v>191</v>
      </c>
      <c r="F486" t="s">
        <v>1386</v>
      </c>
    </row>
    <row r="487" spans="1:6">
      <c r="A487" t="s">
        <v>191</v>
      </c>
      <c r="B487" t="s">
        <v>808</v>
      </c>
      <c r="C487" t="s">
        <v>1411</v>
      </c>
      <c r="D487" t="s">
        <v>1488</v>
      </c>
      <c r="E487" t="s">
        <v>191</v>
      </c>
      <c r="F487" t="s">
        <v>1386</v>
      </c>
    </row>
    <row r="488" spans="1:6">
      <c r="A488" t="s">
        <v>191</v>
      </c>
      <c r="B488" t="s">
        <v>809</v>
      </c>
      <c r="C488" t="s">
        <v>1411</v>
      </c>
      <c r="D488" t="s">
        <v>1489</v>
      </c>
      <c r="E488" t="s">
        <v>191</v>
      </c>
      <c r="F488" t="s">
        <v>1386</v>
      </c>
    </row>
    <row r="489" spans="1:6">
      <c r="A489" t="s">
        <v>191</v>
      </c>
      <c r="B489" t="s">
        <v>810</v>
      </c>
      <c r="C489" t="s">
        <v>1411</v>
      </c>
      <c r="D489" t="s">
        <v>1490</v>
      </c>
      <c r="E489" t="s">
        <v>191</v>
      </c>
      <c r="F489" t="s">
        <v>1386</v>
      </c>
    </row>
    <row r="490" spans="1:6">
      <c r="A490" t="s">
        <v>191</v>
      </c>
      <c r="B490" t="s">
        <v>811</v>
      </c>
      <c r="C490" t="s">
        <v>1411</v>
      </c>
      <c r="D490" t="s">
        <v>1491</v>
      </c>
      <c r="E490" t="s">
        <v>191</v>
      </c>
      <c r="F490" t="s">
        <v>1386</v>
      </c>
    </row>
    <row r="491" spans="1:6">
      <c r="A491" t="s">
        <v>191</v>
      </c>
      <c r="B491" t="s">
        <v>812</v>
      </c>
      <c r="C491" t="s">
        <v>1411</v>
      </c>
      <c r="D491" t="s">
        <v>1492</v>
      </c>
      <c r="E491" t="s">
        <v>191</v>
      </c>
      <c r="F491" t="s">
        <v>1386</v>
      </c>
    </row>
    <row r="492" spans="1:6">
      <c r="A492" t="s">
        <v>191</v>
      </c>
      <c r="B492" t="s">
        <v>813</v>
      </c>
      <c r="C492" t="s">
        <v>1411</v>
      </c>
      <c r="D492" t="s">
        <v>1493</v>
      </c>
      <c r="E492" t="s">
        <v>191</v>
      </c>
      <c r="F492" t="s">
        <v>1386</v>
      </c>
    </row>
    <row r="493" spans="1:6">
      <c r="A493" t="s">
        <v>191</v>
      </c>
      <c r="B493" t="s">
        <v>746</v>
      </c>
      <c r="C493" t="s">
        <v>1411</v>
      </c>
      <c r="D493" t="s">
        <v>1494</v>
      </c>
      <c r="E493" t="s">
        <v>191</v>
      </c>
      <c r="F493" t="s">
        <v>1386</v>
      </c>
    </row>
    <row r="494" spans="1:6">
      <c r="A494" t="s">
        <v>191</v>
      </c>
      <c r="B494" t="s">
        <v>777</v>
      </c>
      <c r="C494" t="s">
        <v>1411</v>
      </c>
      <c r="D494" t="s">
        <v>134</v>
      </c>
      <c r="E494" t="s">
        <v>191</v>
      </c>
      <c r="F494" t="s">
        <v>1386</v>
      </c>
    </row>
    <row r="495" spans="1:6">
      <c r="A495" t="s">
        <v>191</v>
      </c>
      <c r="B495" t="s">
        <v>778</v>
      </c>
      <c r="C495" t="s">
        <v>1411</v>
      </c>
      <c r="D495" t="s">
        <v>1495</v>
      </c>
      <c r="E495" t="s">
        <v>191</v>
      </c>
      <c r="F495" t="s">
        <v>1386</v>
      </c>
    </row>
    <row r="496" spans="1:6">
      <c r="A496" t="s">
        <v>191</v>
      </c>
      <c r="B496" t="s">
        <v>814</v>
      </c>
      <c r="C496" t="s">
        <v>1411</v>
      </c>
      <c r="D496" t="s">
        <v>1497</v>
      </c>
      <c r="E496" t="s">
        <v>191</v>
      </c>
      <c r="F496" t="s">
        <v>1386</v>
      </c>
    </row>
    <row r="497" spans="1:6">
      <c r="A497" t="s">
        <v>191</v>
      </c>
      <c r="B497" t="s">
        <v>815</v>
      </c>
      <c r="C497" t="s">
        <v>1411</v>
      </c>
      <c r="D497" t="s">
        <v>1500</v>
      </c>
      <c r="E497" t="s">
        <v>191</v>
      </c>
      <c r="F497" t="s">
        <v>1386</v>
      </c>
    </row>
    <row r="498" spans="1:6">
      <c r="A498" t="s">
        <v>191</v>
      </c>
      <c r="B498" t="s">
        <v>816</v>
      </c>
      <c r="C498" t="s">
        <v>1411</v>
      </c>
      <c r="D498" t="s">
        <v>1501</v>
      </c>
      <c r="E498" t="s">
        <v>191</v>
      </c>
      <c r="F498" t="s">
        <v>1386</v>
      </c>
    </row>
    <row r="499" spans="1:6">
      <c r="A499" t="s">
        <v>191</v>
      </c>
      <c r="B499" t="s">
        <v>817</v>
      </c>
      <c r="C499" t="s">
        <v>1411</v>
      </c>
      <c r="D499" t="s">
        <v>1502</v>
      </c>
      <c r="E499" t="s">
        <v>191</v>
      </c>
      <c r="F499" t="s">
        <v>1386</v>
      </c>
    </row>
    <row r="500" spans="1:6">
      <c r="A500" t="s">
        <v>191</v>
      </c>
      <c r="B500" t="s">
        <v>818</v>
      </c>
      <c r="C500" t="s">
        <v>1411</v>
      </c>
      <c r="D500" t="s">
        <v>1503</v>
      </c>
      <c r="E500" t="s">
        <v>191</v>
      </c>
      <c r="F500" t="s">
        <v>1386</v>
      </c>
    </row>
    <row r="501" spans="1:6">
      <c r="A501" t="s">
        <v>191</v>
      </c>
      <c r="B501" t="s">
        <v>819</v>
      </c>
      <c r="C501" t="s">
        <v>1411</v>
      </c>
      <c r="D501" t="s">
        <v>1504</v>
      </c>
      <c r="E501" t="s">
        <v>191</v>
      </c>
      <c r="F501" t="s">
        <v>1386</v>
      </c>
    </row>
    <row r="502" spans="1:6">
      <c r="A502" t="s">
        <v>191</v>
      </c>
      <c r="B502" t="s">
        <v>820</v>
      </c>
      <c r="C502" t="s">
        <v>1411</v>
      </c>
      <c r="D502" t="s">
        <v>1505</v>
      </c>
      <c r="E502" t="s">
        <v>191</v>
      </c>
      <c r="F502" t="s">
        <v>1386</v>
      </c>
    </row>
    <row r="503" spans="1:6">
      <c r="A503" t="s">
        <v>191</v>
      </c>
      <c r="B503" t="s">
        <v>821</v>
      </c>
      <c r="C503" t="s">
        <v>1411</v>
      </c>
      <c r="D503" t="s">
        <v>1506</v>
      </c>
      <c r="E503" t="s">
        <v>191</v>
      </c>
      <c r="F503" t="s">
        <v>1386</v>
      </c>
    </row>
    <row r="504" spans="1:6">
      <c r="A504" t="s">
        <v>191</v>
      </c>
      <c r="B504" t="s">
        <v>822</v>
      </c>
      <c r="C504" t="s">
        <v>1411</v>
      </c>
      <c r="D504" t="s">
        <v>1507</v>
      </c>
      <c r="E504" t="s">
        <v>191</v>
      </c>
      <c r="F504" t="s">
        <v>1386</v>
      </c>
    </row>
    <row r="505" spans="1:6">
      <c r="A505" t="s">
        <v>191</v>
      </c>
      <c r="B505" t="s">
        <v>823</v>
      </c>
      <c r="C505" t="s">
        <v>1411</v>
      </c>
      <c r="D505" t="s">
        <v>1508</v>
      </c>
      <c r="E505" t="s">
        <v>191</v>
      </c>
      <c r="F505" t="s">
        <v>1386</v>
      </c>
    </row>
    <row r="506" spans="1:6">
      <c r="A506" t="s">
        <v>191</v>
      </c>
      <c r="B506" t="s">
        <v>824</v>
      </c>
      <c r="C506" t="s">
        <v>1411</v>
      </c>
      <c r="D506" t="s">
        <v>1509</v>
      </c>
      <c r="E506" t="s">
        <v>191</v>
      </c>
      <c r="F506" t="s">
        <v>1386</v>
      </c>
    </row>
    <row r="507" spans="1:6">
      <c r="A507" t="s">
        <v>191</v>
      </c>
      <c r="B507" t="s">
        <v>825</v>
      </c>
      <c r="C507" t="s">
        <v>1411</v>
      </c>
      <c r="D507" t="s">
        <v>1510</v>
      </c>
      <c r="E507" t="s">
        <v>191</v>
      </c>
      <c r="F507" t="s">
        <v>1386</v>
      </c>
    </row>
    <row r="508" spans="1:6">
      <c r="A508" t="s">
        <v>191</v>
      </c>
      <c r="B508" t="s">
        <v>826</v>
      </c>
      <c r="C508" t="s">
        <v>1411</v>
      </c>
      <c r="D508" t="s">
        <v>1511</v>
      </c>
      <c r="E508" t="s">
        <v>191</v>
      </c>
      <c r="F508" t="s">
        <v>1386</v>
      </c>
    </row>
    <row r="509" spans="1:6">
      <c r="A509" t="s">
        <v>191</v>
      </c>
      <c r="B509" t="s">
        <v>827</v>
      </c>
      <c r="C509" t="s">
        <v>1411</v>
      </c>
      <c r="D509" t="s">
        <v>1512</v>
      </c>
      <c r="E509" t="s">
        <v>191</v>
      </c>
      <c r="F509" t="s">
        <v>1386</v>
      </c>
    </row>
    <row r="510" spans="1:6">
      <c r="A510" t="s">
        <v>191</v>
      </c>
      <c r="B510" t="s">
        <v>760</v>
      </c>
      <c r="C510" t="s">
        <v>1411</v>
      </c>
      <c r="D510" t="s">
        <v>1513</v>
      </c>
      <c r="E510" t="s">
        <v>191</v>
      </c>
      <c r="F510" t="s">
        <v>1386</v>
      </c>
    </row>
    <row r="511" spans="1:6">
      <c r="A511" t="s">
        <v>191</v>
      </c>
      <c r="B511" t="s">
        <v>183</v>
      </c>
      <c r="C511" t="s">
        <v>1411</v>
      </c>
      <c r="D511" t="s">
        <v>1514</v>
      </c>
      <c r="E511" t="s">
        <v>191</v>
      </c>
      <c r="F511" t="s">
        <v>1386</v>
      </c>
    </row>
    <row r="512" spans="1:6">
      <c r="A512" t="s">
        <v>191</v>
      </c>
      <c r="B512" t="s">
        <v>765</v>
      </c>
      <c r="C512" t="s">
        <v>1411</v>
      </c>
      <c r="D512" t="s">
        <v>1515</v>
      </c>
      <c r="E512" t="s">
        <v>191</v>
      </c>
      <c r="F512" t="s">
        <v>1386</v>
      </c>
    </row>
    <row r="513" spans="1:6">
      <c r="A513" t="s">
        <v>191</v>
      </c>
      <c r="B513" t="s">
        <v>871</v>
      </c>
      <c r="C513" t="s">
        <v>1411</v>
      </c>
      <c r="D513" t="s">
        <v>1516</v>
      </c>
      <c r="E513" t="s">
        <v>191</v>
      </c>
      <c r="F513" t="s">
        <v>1386</v>
      </c>
    </row>
    <row r="514" spans="1:6">
      <c r="A514" t="s">
        <v>191</v>
      </c>
      <c r="B514" t="s">
        <v>740</v>
      </c>
      <c r="C514" t="s">
        <v>1411</v>
      </c>
      <c r="D514" t="s">
        <v>1517</v>
      </c>
      <c r="E514" t="s">
        <v>191</v>
      </c>
      <c r="F514" t="s">
        <v>1386</v>
      </c>
    </row>
    <row r="515" spans="1:6">
      <c r="A515" t="s">
        <v>191</v>
      </c>
      <c r="B515" t="s">
        <v>241</v>
      </c>
      <c r="C515" t="s">
        <v>1411</v>
      </c>
      <c r="D515" t="s">
        <v>1518</v>
      </c>
      <c r="E515" t="s">
        <v>191</v>
      </c>
      <c r="F515" t="s">
        <v>1386</v>
      </c>
    </row>
    <row r="516" spans="1:6">
      <c r="A516" t="s">
        <v>191</v>
      </c>
      <c r="B516" t="s">
        <v>761</v>
      </c>
      <c r="C516" t="s">
        <v>1411</v>
      </c>
      <c r="D516" t="s">
        <v>1519</v>
      </c>
      <c r="E516" t="s">
        <v>191</v>
      </c>
      <c r="F516" t="s">
        <v>1386</v>
      </c>
    </row>
    <row r="517" spans="1:6">
      <c r="A517" t="s">
        <v>191</v>
      </c>
      <c r="B517" t="s">
        <v>763</v>
      </c>
      <c r="C517" t="s">
        <v>1411</v>
      </c>
      <c r="D517" t="s">
        <v>1520</v>
      </c>
      <c r="E517" t="s">
        <v>191</v>
      </c>
      <c r="F517" t="s">
        <v>1386</v>
      </c>
    </row>
    <row r="518" spans="1:6">
      <c r="A518" t="s">
        <v>191</v>
      </c>
      <c r="B518" t="s">
        <v>766</v>
      </c>
      <c r="C518" t="s">
        <v>1411</v>
      </c>
      <c r="D518" t="s">
        <v>1521</v>
      </c>
      <c r="E518" t="s">
        <v>191</v>
      </c>
      <c r="F518" t="s">
        <v>1386</v>
      </c>
    </row>
    <row r="519" spans="1:6">
      <c r="A519" t="s">
        <v>191</v>
      </c>
      <c r="B519" t="s">
        <v>1522</v>
      </c>
      <c r="C519" t="s">
        <v>1411</v>
      </c>
      <c r="D519" t="s">
        <v>1523</v>
      </c>
      <c r="E519" t="s">
        <v>191</v>
      </c>
      <c r="F519" t="s">
        <v>1386</v>
      </c>
    </row>
    <row r="520" spans="1:6">
      <c r="A520" t="s">
        <v>191</v>
      </c>
      <c r="B520" t="s">
        <v>1524</v>
      </c>
      <c r="C520" t="s">
        <v>1411</v>
      </c>
      <c r="D520" t="s">
        <v>1525</v>
      </c>
      <c r="E520" t="s">
        <v>191</v>
      </c>
      <c r="F520" t="s">
        <v>1386</v>
      </c>
    </row>
    <row r="521" spans="1:6">
      <c r="A521" t="s">
        <v>191</v>
      </c>
      <c r="B521" t="s">
        <v>779</v>
      </c>
      <c r="C521" t="s">
        <v>1411</v>
      </c>
      <c r="D521" t="s">
        <v>1526</v>
      </c>
      <c r="E521" t="s">
        <v>191</v>
      </c>
      <c r="F521" t="s">
        <v>1386</v>
      </c>
    </row>
    <row r="522" spans="1:6">
      <c r="A522" t="s">
        <v>191</v>
      </c>
      <c r="B522" t="s">
        <v>781</v>
      </c>
      <c r="C522" t="s">
        <v>1411</v>
      </c>
      <c r="D522" t="s">
        <v>1527</v>
      </c>
      <c r="E522" t="s">
        <v>191</v>
      </c>
      <c r="F522" t="s">
        <v>1386</v>
      </c>
    </row>
    <row r="523" spans="1:6">
      <c r="A523" t="s">
        <v>191</v>
      </c>
      <c r="B523" t="s">
        <v>828</v>
      </c>
      <c r="C523" t="s">
        <v>1411</v>
      </c>
      <c r="D523" t="s">
        <v>1528</v>
      </c>
      <c r="E523" t="s">
        <v>191</v>
      </c>
      <c r="F523" t="s">
        <v>1386</v>
      </c>
    </row>
    <row r="524" spans="1:6">
      <c r="A524" t="s">
        <v>191</v>
      </c>
      <c r="B524" t="s">
        <v>830</v>
      </c>
      <c r="C524" t="s">
        <v>1411</v>
      </c>
      <c r="D524" t="s">
        <v>1529</v>
      </c>
      <c r="E524" t="s">
        <v>191</v>
      </c>
      <c r="F524" t="s">
        <v>1386</v>
      </c>
    </row>
    <row r="525" spans="1:6">
      <c r="A525" t="s">
        <v>191</v>
      </c>
      <c r="B525" t="s">
        <v>832</v>
      </c>
      <c r="C525" t="s">
        <v>1411</v>
      </c>
      <c r="D525" t="s">
        <v>1530</v>
      </c>
      <c r="E525" t="s">
        <v>191</v>
      </c>
      <c r="F525" t="s">
        <v>1386</v>
      </c>
    </row>
    <row r="526" spans="1:6">
      <c r="A526" t="s">
        <v>191</v>
      </c>
      <c r="B526" t="s">
        <v>834</v>
      </c>
      <c r="C526" t="s">
        <v>1411</v>
      </c>
      <c r="D526" t="s">
        <v>1531</v>
      </c>
      <c r="E526" t="s">
        <v>191</v>
      </c>
      <c r="F526" t="s">
        <v>1386</v>
      </c>
    </row>
    <row r="527" spans="1:6">
      <c r="A527" t="s">
        <v>191</v>
      </c>
      <c r="B527" t="s">
        <v>836</v>
      </c>
      <c r="C527" t="s">
        <v>1411</v>
      </c>
      <c r="D527" t="s">
        <v>1532</v>
      </c>
      <c r="E527" t="s">
        <v>191</v>
      </c>
      <c r="F527" t="s">
        <v>1386</v>
      </c>
    </row>
    <row r="528" spans="1:6">
      <c r="A528" t="s">
        <v>191</v>
      </c>
      <c r="B528" t="s">
        <v>838</v>
      </c>
      <c r="C528" t="s">
        <v>1411</v>
      </c>
      <c r="D528" t="s">
        <v>1533</v>
      </c>
      <c r="E528" t="s">
        <v>191</v>
      </c>
      <c r="F528" t="s">
        <v>1386</v>
      </c>
    </row>
    <row r="529" spans="1:6">
      <c r="A529" t="s">
        <v>191</v>
      </c>
      <c r="B529" t="s">
        <v>840</v>
      </c>
      <c r="C529" t="s">
        <v>1411</v>
      </c>
      <c r="D529" t="s">
        <v>1534</v>
      </c>
      <c r="E529" t="s">
        <v>191</v>
      </c>
      <c r="F529" t="s">
        <v>1386</v>
      </c>
    </row>
    <row r="530" spans="1:6">
      <c r="A530" t="s">
        <v>191</v>
      </c>
      <c r="B530" t="s">
        <v>842</v>
      </c>
      <c r="C530" t="s">
        <v>1411</v>
      </c>
      <c r="D530" t="s">
        <v>1535</v>
      </c>
      <c r="E530" t="s">
        <v>191</v>
      </c>
      <c r="F530" t="s">
        <v>1386</v>
      </c>
    </row>
    <row r="531" spans="1:6">
      <c r="A531" t="s">
        <v>191</v>
      </c>
      <c r="B531" t="s">
        <v>844</v>
      </c>
      <c r="C531" t="s">
        <v>1411</v>
      </c>
      <c r="D531" t="s">
        <v>1536</v>
      </c>
      <c r="E531" t="s">
        <v>191</v>
      </c>
      <c r="F531" t="s">
        <v>1386</v>
      </c>
    </row>
    <row r="532" spans="1:6">
      <c r="A532" t="s">
        <v>191</v>
      </c>
      <c r="B532" t="s">
        <v>846</v>
      </c>
      <c r="C532" t="s">
        <v>1411</v>
      </c>
      <c r="D532" t="s">
        <v>1537</v>
      </c>
      <c r="E532" t="s">
        <v>191</v>
      </c>
      <c r="F532" t="s">
        <v>1386</v>
      </c>
    </row>
    <row r="533" spans="1:6">
      <c r="A533" t="s">
        <v>191</v>
      </c>
      <c r="B533" t="s">
        <v>848</v>
      </c>
      <c r="C533" t="s">
        <v>1411</v>
      </c>
      <c r="D533" t="s">
        <v>1538</v>
      </c>
      <c r="E533" t="s">
        <v>191</v>
      </c>
      <c r="F533" t="s">
        <v>1386</v>
      </c>
    </row>
    <row r="534" spans="1:6">
      <c r="A534" t="s">
        <v>191</v>
      </c>
      <c r="B534" t="s">
        <v>850</v>
      </c>
      <c r="C534" t="s">
        <v>1411</v>
      </c>
      <c r="D534" t="s">
        <v>1539</v>
      </c>
      <c r="E534" t="s">
        <v>191</v>
      </c>
      <c r="F534" t="s">
        <v>1386</v>
      </c>
    </row>
    <row r="535" spans="1:6">
      <c r="A535" t="s">
        <v>191</v>
      </c>
      <c r="B535" t="s">
        <v>852</v>
      </c>
      <c r="C535" t="s">
        <v>1411</v>
      </c>
      <c r="D535" t="s">
        <v>1540</v>
      </c>
      <c r="E535" t="s">
        <v>191</v>
      </c>
      <c r="F535" t="s">
        <v>1386</v>
      </c>
    </row>
    <row r="536" spans="1:6">
      <c r="A536" t="s">
        <v>191</v>
      </c>
      <c r="B536" t="s">
        <v>854</v>
      </c>
      <c r="C536" t="s">
        <v>1411</v>
      </c>
      <c r="D536" t="s">
        <v>1541</v>
      </c>
      <c r="E536" t="s">
        <v>191</v>
      </c>
      <c r="F536" t="s">
        <v>1386</v>
      </c>
    </row>
    <row r="537" spans="1:6">
      <c r="A537" t="s">
        <v>191</v>
      </c>
      <c r="B537" t="s">
        <v>872</v>
      </c>
      <c r="C537" t="s">
        <v>1411</v>
      </c>
      <c r="D537" t="s">
        <v>1542</v>
      </c>
      <c r="E537" t="s">
        <v>191</v>
      </c>
      <c r="F537" t="s">
        <v>1386</v>
      </c>
    </row>
    <row r="538" spans="1:6">
      <c r="A538" t="s">
        <v>191</v>
      </c>
      <c r="B538" t="s">
        <v>1543</v>
      </c>
      <c r="C538" t="s">
        <v>1411</v>
      </c>
      <c r="D538" t="s">
        <v>1544</v>
      </c>
      <c r="E538" t="s">
        <v>191</v>
      </c>
      <c r="F538" t="s">
        <v>1386</v>
      </c>
    </row>
    <row r="539" spans="1:6">
      <c r="A539" t="s">
        <v>191</v>
      </c>
      <c r="B539" t="s">
        <v>741</v>
      </c>
      <c r="C539" t="s">
        <v>1411</v>
      </c>
      <c r="D539" t="s">
        <v>1545</v>
      </c>
      <c r="E539" t="s">
        <v>191</v>
      </c>
      <c r="F539" t="s">
        <v>1386</v>
      </c>
    </row>
    <row r="540" spans="1:6">
      <c r="A540" t="s">
        <v>191</v>
      </c>
      <c r="B540" t="s">
        <v>1546</v>
      </c>
      <c r="C540" t="s">
        <v>1411</v>
      </c>
      <c r="D540" t="s">
        <v>1547</v>
      </c>
      <c r="E540" t="s">
        <v>191</v>
      </c>
      <c r="F540" t="s">
        <v>1386</v>
      </c>
    </row>
    <row r="541" spans="1:6">
      <c r="A541" t="s">
        <v>191</v>
      </c>
      <c r="B541" t="s">
        <v>747</v>
      </c>
      <c r="C541" t="s">
        <v>1411</v>
      </c>
      <c r="D541" t="s">
        <v>1548</v>
      </c>
      <c r="E541" t="s">
        <v>191</v>
      </c>
      <c r="F541" t="s">
        <v>1386</v>
      </c>
    </row>
    <row r="542" spans="1:6">
      <c r="A542" t="s">
        <v>191</v>
      </c>
      <c r="B542" t="s">
        <v>210</v>
      </c>
      <c r="C542" t="s">
        <v>1411</v>
      </c>
      <c r="D542" t="s">
        <v>723</v>
      </c>
      <c r="E542" t="s">
        <v>191</v>
      </c>
      <c r="F542" t="s">
        <v>1386</v>
      </c>
    </row>
    <row r="543" spans="1:6">
      <c r="A543" t="s">
        <v>191</v>
      </c>
      <c r="B543" t="s">
        <v>204</v>
      </c>
      <c r="C543" t="s">
        <v>1411</v>
      </c>
      <c r="D543" t="s">
        <v>725</v>
      </c>
      <c r="E543" t="s">
        <v>191</v>
      </c>
      <c r="F543" t="s">
        <v>1386</v>
      </c>
    </row>
    <row r="544" spans="1:6">
      <c r="A544" t="s">
        <v>874</v>
      </c>
      <c r="B544" t="s">
        <v>1549</v>
      </c>
      <c r="C544" t="s">
        <v>1345</v>
      </c>
    </row>
    <row r="545" spans="1:3">
      <c r="A545" t="s">
        <v>1550</v>
      </c>
      <c r="B545" t="s">
        <v>1551</v>
      </c>
      <c r="C545" t="s">
        <v>1552</v>
      </c>
    </row>
    <row r="546" spans="1:3">
      <c r="A546" t="s">
        <v>217</v>
      </c>
      <c r="B546" t="s">
        <v>1553</v>
      </c>
      <c r="C546" t="s">
        <v>1552</v>
      </c>
    </row>
    <row r="547" spans="1:3">
      <c r="A547" t="s">
        <v>217</v>
      </c>
      <c r="B547" t="s">
        <v>1554</v>
      </c>
      <c r="C547" t="s">
        <v>1552</v>
      </c>
    </row>
    <row r="548" spans="1:3">
      <c r="A548" t="s">
        <v>217</v>
      </c>
      <c r="B548" t="s">
        <v>1555</v>
      </c>
      <c r="C548" t="s">
        <v>1552</v>
      </c>
    </row>
    <row r="549" spans="1:3">
      <c r="A549" t="s">
        <v>217</v>
      </c>
      <c r="B549" t="s">
        <v>1556</v>
      </c>
      <c r="C549" t="s">
        <v>1552</v>
      </c>
    </row>
    <row r="550" spans="1:3">
      <c r="A550" t="s">
        <v>217</v>
      </c>
      <c r="B550" t="s">
        <v>1557</v>
      </c>
      <c r="C550" t="s">
        <v>1552</v>
      </c>
    </row>
    <row r="551" spans="1:3">
      <c r="A551" t="s">
        <v>217</v>
      </c>
      <c r="B551" t="s">
        <v>128</v>
      </c>
      <c r="C551" t="s">
        <v>1552</v>
      </c>
    </row>
    <row r="552" spans="1:3">
      <c r="A552" t="s">
        <v>217</v>
      </c>
      <c r="B552" t="s">
        <v>1558</v>
      </c>
      <c r="C552" t="s">
        <v>1552</v>
      </c>
    </row>
    <row r="553" spans="1:3">
      <c r="A553" t="s">
        <v>217</v>
      </c>
      <c r="B553" t="s">
        <v>1559</v>
      </c>
      <c r="C553" t="s">
        <v>1552</v>
      </c>
    </row>
    <row r="554" spans="1:3">
      <c r="A554" t="s">
        <v>217</v>
      </c>
      <c r="B554" t="s">
        <v>1560</v>
      </c>
      <c r="C554" t="s">
        <v>1552</v>
      </c>
    </row>
    <row r="555" spans="1:3">
      <c r="A555" t="s">
        <v>217</v>
      </c>
      <c r="B555" t="s">
        <v>1561</v>
      </c>
      <c r="C555" t="s">
        <v>1552</v>
      </c>
    </row>
    <row r="556" spans="1:3">
      <c r="A556" t="s">
        <v>217</v>
      </c>
      <c r="B556" t="s">
        <v>1562</v>
      </c>
      <c r="C556" t="s">
        <v>1552</v>
      </c>
    </row>
    <row r="557" spans="1:3">
      <c r="A557" t="s">
        <v>217</v>
      </c>
      <c r="B557" t="s">
        <v>1563</v>
      </c>
      <c r="C557" t="s">
        <v>1552</v>
      </c>
    </row>
    <row r="558" spans="1:3">
      <c r="A558" t="s">
        <v>217</v>
      </c>
      <c r="B558" t="s">
        <v>1564</v>
      </c>
      <c r="C558" t="s">
        <v>1552</v>
      </c>
    </row>
    <row r="559" spans="1:3">
      <c r="A559" t="s">
        <v>217</v>
      </c>
      <c r="B559" t="s">
        <v>1565</v>
      </c>
      <c r="C559" t="s">
        <v>1552</v>
      </c>
    </row>
    <row r="560" spans="1:3">
      <c r="A560" t="s">
        <v>217</v>
      </c>
      <c r="B560" t="s">
        <v>1566</v>
      </c>
      <c r="C560" t="s">
        <v>1552</v>
      </c>
    </row>
    <row r="561" spans="1:3">
      <c r="A561" t="s">
        <v>217</v>
      </c>
      <c r="B561" t="s">
        <v>1567</v>
      </c>
      <c r="C561" t="s">
        <v>1552</v>
      </c>
    </row>
    <row r="562" spans="1:3">
      <c r="A562" t="s">
        <v>217</v>
      </c>
      <c r="B562" t="s">
        <v>1419</v>
      </c>
      <c r="C562" t="s">
        <v>1552</v>
      </c>
    </row>
    <row r="563" spans="1:3">
      <c r="A563" t="s">
        <v>217</v>
      </c>
      <c r="B563" t="s">
        <v>1435</v>
      </c>
      <c r="C563" t="s">
        <v>1552</v>
      </c>
    </row>
    <row r="564" spans="1:3">
      <c r="A564" t="s">
        <v>217</v>
      </c>
      <c r="B564" t="s">
        <v>1451</v>
      </c>
      <c r="C564" t="s">
        <v>1552</v>
      </c>
    </row>
    <row r="565" spans="1:3">
      <c r="A565" t="s">
        <v>217</v>
      </c>
      <c r="B565" t="s">
        <v>1467</v>
      </c>
      <c r="C565" t="s">
        <v>1552</v>
      </c>
    </row>
    <row r="566" spans="1:3">
      <c r="A566" t="s">
        <v>217</v>
      </c>
      <c r="B566" t="s">
        <v>1485</v>
      </c>
      <c r="C566" t="s">
        <v>1552</v>
      </c>
    </row>
    <row r="567" spans="1:3">
      <c r="A567" t="s">
        <v>217</v>
      </c>
      <c r="B567" t="s">
        <v>1337</v>
      </c>
      <c r="C567" t="s">
        <v>1552</v>
      </c>
    </row>
    <row r="568" spans="1:3">
      <c r="A568" t="s">
        <v>217</v>
      </c>
      <c r="B568" t="s">
        <v>1568</v>
      </c>
      <c r="C568" t="s">
        <v>1552</v>
      </c>
    </row>
    <row r="569" spans="1:3">
      <c r="A569" t="s">
        <v>217</v>
      </c>
      <c r="B569" t="s">
        <v>1569</v>
      </c>
      <c r="C569" t="s">
        <v>1552</v>
      </c>
    </row>
    <row r="570" spans="1:3">
      <c r="A570" t="s">
        <v>217</v>
      </c>
      <c r="B570" t="s">
        <v>1420</v>
      </c>
      <c r="C570" t="s">
        <v>1552</v>
      </c>
    </row>
    <row r="571" spans="1:3">
      <c r="A571" t="s">
        <v>217</v>
      </c>
      <c r="B571" t="s">
        <v>1436</v>
      </c>
      <c r="C571" t="s">
        <v>1552</v>
      </c>
    </row>
    <row r="572" spans="1:3">
      <c r="A572" t="s">
        <v>217</v>
      </c>
      <c r="B572" t="s">
        <v>1452</v>
      </c>
      <c r="C572" t="s">
        <v>1552</v>
      </c>
    </row>
    <row r="573" spans="1:3">
      <c r="A573" t="s">
        <v>217</v>
      </c>
      <c r="B573" t="s">
        <v>1468</v>
      </c>
      <c r="C573" t="s">
        <v>1552</v>
      </c>
    </row>
    <row r="574" spans="1:3">
      <c r="A574" t="s">
        <v>217</v>
      </c>
      <c r="B574" t="s">
        <v>1486</v>
      </c>
      <c r="C574" t="s">
        <v>1552</v>
      </c>
    </row>
    <row r="575" spans="1:3">
      <c r="A575" t="s">
        <v>217</v>
      </c>
      <c r="B575" t="s">
        <v>1570</v>
      </c>
      <c r="C575" t="s">
        <v>1552</v>
      </c>
    </row>
    <row r="576" spans="1:3">
      <c r="A576" t="s">
        <v>217</v>
      </c>
      <c r="B576" t="s">
        <v>1571</v>
      </c>
      <c r="C576" t="s">
        <v>1552</v>
      </c>
    </row>
    <row r="577" spans="1:3">
      <c r="A577" t="s">
        <v>217</v>
      </c>
      <c r="B577" t="s">
        <v>1572</v>
      </c>
      <c r="C577" t="s">
        <v>1552</v>
      </c>
    </row>
    <row r="578" spans="1:3">
      <c r="A578" t="s">
        <v>217</v>
      </c>
      <c r="B578" t="s">
        <v>1421</v>
      </c>
      <c r="C578" t="s">
        <v>1552</v>
      </c>
    </row>
    <row r="579" spans="1:3">
      <c r="A579" t="s">
        <v>217</v>
      </c>
      <c r="B579" t="s">
        <v>1437</v>
      </c>
      <c r="C579" t="s">
        <v>1552</v>
      </c>
    </row>
    <row r="580" spans="1:3">
      <c r="A580" t="s">
        <v>217</v>
      </c>
      <c r="B580" t="s">
        <v>1453</v>
      </c>
      <c r="C580" t="s">
        <v>1552</v>
      </c>
    </row>
    <row r="581" spans="1:3">
      <c r="A581" t="s">
        <v>217</v>
      </c>
      <c r="B581" t="s">
        <v>1469</v>
      </c>
      <c r="C581" t="s">
        <v>1552</v>
      </c>
    </row>
    <row r="582" spans="1:3">
      <c r="A582" t="s">
        <v>217</v>
      </c>
      <c r="B582" t="s">
        <v>1487</v>
      </c>
      <c r="C582" t="s">
        <v>1552</v>
      </c>
    </row>
    <row r="583" spans="1:3">
      <c r="A583" t="s">
        <v>217</v>
      </c>
      <c r="B583" t="s">
        <v>1573</v>
      </c>
      <c r="C583" t="s">
        <v>1552</v>
      </c>
    </row>
    <row r="584" spans="1:3">
      <c r="A584" t="s">
        <v>217</v>
      </c>
      <c r="B584" t="s">
        <v>1574</v>
      </c>
      <c r="C584" t="s">
        <v>1552</v>
      </c>
    </row>
    <row r="585" spans="1:3">
      <c r="A585" t="s">
        <v>217</v>
      </c>
      <c r="B585" t="s">
        <v>1575</v>
      </c>
      <c r="C585" t="s">
        <v>1552</v>
      </c>
    </row>
    <row r="586" spans="1:3">
      <c r="A586" t="s">
        <v>217</v>
      </c>
      <c r="B586" t="s">
        <v>1422</v>
      </c>
      <c r="C586" t="s">
        <v>1552</v>
      </c>
    </row>
    <row r="587" spans="1:3">
      <c r="A587" t="s">
        <v>217</v>
      </c>
      <c r="B587" t="s">
        <v>1438</v>
      </c>
      <c r="C587" t="s">
        <v>1552</v>
      </c>
    </row>
    <row r="588" spans="1:3">
      <c r="A588" t="s">
        <v>217</v>
      </c>
      <c r="B588" t="s">
        <v>1454</v>
      </c>
      <c r="C588" t="s">
        <v>1552</v>
      </c>
    </row>
    <row r="589" spans="1:3">
      <c r="A589" t="s">
        <v>217</v>
      </c>
      <c r="B589" t="s">
        <v>1470</v>
      </c>
      <c r="C589" t="s">
        <v>1552</v>
      </c>
    </row>
    <row r="590" spans="1:3">
      <c r="A590" t="s">
        <v>217</v>
      </c>
      <c r="B590" t="s">
        <v>1488</v>
      </c>
      <c r="C590" t="s">
        <v>1552</v>
      </c>
    </row>
    <row r="591" spans="1:3">
      <c r="A591" t="s">
        <v>191</v>
      </c>
      <c r="B591" t="s">
        <v>1475</v>
      </c>
      <c r="C591" t="s">
        <v>1576</v>
      </c>
    </row>
    <row r="592" spans="1:3">
      <c r="A592" t="s">
        <v>191</v>
      </c>
      <c r="B592" t="s">
        <v>1476</v>
      </c>
      <c r="C592" t="s">
        <v>1576</v>
      </c>
    </row>
    <row r="593" spans="1:3">
      <c r="A593" t="s">
        <v>191</v>
      </c>
      <c r="B593" t="s">
        <v>1477</v>
      </c>
      <c r="C593" t="s">
        <v>1576</v>
      </c>
    </row>
    <row r="594" spans="1:3">
      <c r="A594" t="s">
        <v>191</v>
      </c>
      <c r="B594" t="s">
        <v>1478</v>
      </c>
      <c r="C594" t="s">
        <v>1576</v>
      </c>
    </row>
    <row r="595" spans="1:3">
      <c r="A595" t="s">
        <v>191</v>
      </c>
      <c r="B595" t="s">
        <v>1479</v>
      </c>
      <c r="C595" t="s">
        <v>1576</v>
      </c>
    </row>
    <row r="596" spans="1:3">
      <c r="A596" t="s">
        <v>191</v>
      </c>
      <c r="B596" t="s">
        <v>1480</v>
      </c>
      <c r="C596" t="s">
        <v>1576</v>
      </c>
    </row>
    <row r="597" spans="1:3">
      <c r="A597" t="s">
        <v>191</v>
      </c>
      <c r="B597" t="s">
        <v>1481</v>
      </c>
      <c r="C597" t="s">
        <v>1576</v>
      </c>
    </row>
    <row r="598" spans="1:3">
      <c r="A598" t="s">
        <v>191</v>
      </c>
      <c r="B598" t="s">
        <v>1482</v>
      </c>
      <c r="C598" t="s">
        <v>1576</v>
      </c>
    </row>
    <row r="599" spans="1:3">
      <c r="A599" t="s">
        <v>191</v>
      </c>
      <c r="B599" t="s">
        <v>1483</v>
      </c>
      <c r="C599" t="s">
        <v>1576</v>
      </c>
    </row>
    <row r="600" spans="1:3">
      <c r="A600" t="s">
        <v>191</v>
      </c>
      <c r="B600" t="s">
        <v>1484</v>
      </c>
      <c r="C600" t="s">
        <v>1576</v>
      </c>
    </row>
    <row r="601" spans="1:3">
      <c r="A601" t="s">
        <v>191</v>
      </c>
      <c r="B601" t="s">
        <v>1485</v>
      </c>
      <c r="C601" t="s">
        <v>1576</v>
      </c>
    </row>
    <row r="602" spans="1:3">
      <c r="A602" t="s">
        <v>191</v>
      </c>
      <c r="B602" t="s">
        <v>1486</v>
      </c>
      <c r="C602" t="s">
        <v>1576</v>
      </c>
    </row>
    <row r="603" spans="1:3">
      <c r="A603" t="s">
        <v>191</v>
      </c>
      <c r="B603" t="s">
        <v>1487</v>
      </c>
      <c r="C603" t="s">
        <v>1576</v>
      </c>
    </row>
    <row r="604" spans="1:3">
      <c r="A604" t="s">
        <v>191</v>
      </c>
      <c r="B604" t="s">
        <v>1488</v>
      </c>
      <c r="C604" t="s">
        <v>1576</v>
      </c>
    </row>
    <row r="605" spans="1:3">
      <c r="A605" t="s">
        <v>191</v>
      </c>
      <c r="B605" t="s">
        <v>1489</v>
      </c>
      <c r="C605" t="s">
        <v>1576</v>
      </c>
    </row>
    <row r="606" spans="1:3">
      <c r="A606" t="s">
        <v>191</v>
      </c>
      <c r="B606" t="s">
        <v>1490</v>
      </c>
      <c r="C606" t="s">
        <v>1576</v>
      </c>
    </row>
    <row r="607" spans="1:3">
      <c r="A607" t="s">
        <v>191</v>
      </c>
      <c r="B607" t="s">
        <v>1491</v>
      </c>
      <c r="C607" t="s">
        <v>1576</v>
      </c>
    </row>
    <row r="608" spans="1:3">
      <c r="A608" t="s">
        <v>191</v>
      </c>
      <c r="B608" t="s">
        <v>1492</v>
      </c>
      <c r="C608" t="s">
        <v>1576</v>
      </c>
    </row>
    <row r="609" spans="1:3">
      <c r="A609" t="s">
        <v>191</v>
      </c>
      <c r="B609" t="s">
        <v>1493</v>
      </c>
      <c r="C609" t="s">
        <v>1576</v>
      </c>
    </row>
    <row r="610" spans="1:3">
      <c r="A610" t="s">
        <v>191</v>
      </c>
      <c r="B610" t="s">
        <v>1577</v>
      </c>
      <c r="C610" t="s">
        <v>1576</v>
      </c>
    </row>
    <row r="611" spans="1:3">
      <c r="A611" t="s">
        <v>191</v>
      </c>
      <c r="B611" t="s">
        <v>1578</v>
      </c>
      <c r="C611" t="s">
        <v>1576</v>
      </c>
    </row>
    <row r="612" spans="1:3">
      <c r="A612" t="s">
        <v>191</v>
      </c>
      <c r="B612" t="s">
        <v>1579</v>
      </c>
      <c r="C612" t="s">
        <v>1576</v>
      </c>
    </row>
    <row r="613" spans="1:3">
      <c r="A613" t="s">
        <v>191</v>
      </c>
      <c r="B613" t="s">
        <v>1580</v>
      </c>
      <c r="C613" t="s">
        <v>1576</v>
      </c>
    </row>
    <row r="614" spans="1:3">
      <c r="A614" t="s">
        <v>191</v>
      </c>
      <c r="B614" t="s">
        <v>1581</v>
      </c>
      <c r="C614" t="s">
        <v>1576</v>
      </c>
    </row>
    <row r="615" spans="1:3">
      <c r="A615" t="s">
        <v>191</v>
      </c>
      <c r="B615" t="s">
        <v>1582</v>
      </c>
      <c r="C615" t="s">
        <v>1576</v>
      </c>
    </row>
    <row r="616" spans="1:3">
      <c r="A616" t="s">
        <v>191</v>
      </c>
      <c r="B616" t="s">
        <v>1583</v>
      </c>
      <c r="C616" t="s">
        <v>1576</v>
      </c>
    </row>
    <row r="617" spans="1:3">
      <c r="A617" t="s">
        <v>191</v>
      </c>
      <c r="B617" t="s">
        <v>1584</v>
      </c>
      <c r="C617" t="s">
        <v>1576</v>
      </c>
    </row>
    <row r="618" spans="1:3">
      <c r="A618" t="s">
        <v>191</v>
      </c>
      <c r="B618" t="s">
        <v>134</v>
      </c>
      <c r="C618" t="s">
        <v>1576</v>
      </c>
    </row>
    <row r="619" spans="1:3">
      <c r="A619" t="s">
        <v>191</v>
      </c>
      <c r="B619" t="s">
        <v>1495</v>
      </c>
      <c r="C619" t="s">
        <v>1576</v>
      </c>
    </row>
    <row r="620" spans="1:3">
      <c r="A620" t="s">
        <v>191</v>
      </c>
      <c r="B620" t="s">
        <v>1497</v>
      </c>
      <c r="C620" t="s">
        <v>1576</v>
      </c>
    </row>
    <row r="621" spans="1:3">
      <c r="A621" t="s">
        <v>191</v>
      </c>
      <c r="B621" t="s">
        <v>1500</v>
      </c>
      <c r="C621" t="s">
        <v>1576</v>
      </c>
    </row>
    <row r="622" spans="1:3">
      <c r="A622" t="s">
        <v>191</v>
      </c>
      <c r="B622" t="s">
        <v>1501</v>
      </c>
      <c r="C622" t="s">
        <v>1576</v>
      </c>
    </row>
    <row r="623" spans="1:3">
      <c r="A623" t="s">
        <v>191</v>
      </c>
      <c r="B623" t="s">
        <v>1502</v>
      </c>
      <c r="C623" t="s">
        <v>1576</v>
      </c>
    </row>
    <row r="624" spans="1:3">
      <c r="A624" t="s">
        <v>191</v>
      </c>
      <c r="B624" t="s">
        <v>1503</v>
      </c>
      <c r="C624" t="s">
        <v>1576</v>
      </c>
    </row>
    <row r="625" spans="1:3">
      <c r="A625" t="s">
        <v>191</v>
      </c>
      <c r="B625" t="s">
        <v>1504</v>
      </c>
      <c r="C625" t="s">
        <v>1576</v>
      </c>
    </row>
    <row r="626" spans="1:3">
      <c r="A626" t="s">
        <v>191</v>
      </c>
      <c r="B626" t="s">
        <v>1505</v>
      </c>
      <c r="C626" t="s">
        <v>1576</v>
      </c>
    </row>
    <row r="627" spans="1:3">
      <c r="A627" t="s">
        <v>191</v>
      </c>
      <c r="B627" t="s">
        <v>1506</v>
      </c>
      <c r="C627" t="s">
        <v>1576</v>
      </c>
    </row>
    <row r="628" spans="1:3">
      <c r="A628" t="s">
        <v>191</v>
      </c>
      <c r="B628" t="s">
        <v>1507</v>
      </c>
      <c r="C628" t="s">
        <v>1576</v>
      </c>
    </row>
    <row r="629" spans="1:3">
      <c r="A629" t="s">
        <v>191</v>
      </c>
      <c r="B629" t="s">
        <v>1508</v>
      </c>
      <c r="C629" t="s">
        <v>1576</v>
      </c>
    </row>
    <row r="630" spans="1:3">
      <c r="A630" t="s">
        <v>191</v>
      </c>
      <c r="B630" t="s">
        <v>1509</v>
      </c>
      <c r="C630" t="s">
        <v>1576</v>
      </c>
    </row>
    <row r="631" spans="1:3">
      <c r="A631" t="s">
        <v>191</v>
      </c>
      <c r="B631" t="s">
        <v>1510</v>
      </c>
      <c r="C631" t="s">
        <v>1576</v>
      </c>
    </row>
    <row r="632" spans="1:3">
      <c r="A632" t="s">
        <v>191</v>
      </c>
      <c r="B632" t="s">
        <v>1511</v>
      </c>
      <c r="C632" t="s">
        <v>1576</v>
      </c>
    </row>
    <row r="633" spans="1:3">
      <c r="A633" t="s">
        <v>191</v>
      </c>
      <c r="B633" t="s">
        <v>1512</v>
      </c>
      <c r="C633" t="s">
        <v>1576</v>
      </c>
    </row>
    <row r="634" spans="1:3">
      <c r="A634" t="s">
        <v>191</v>
      </c>
      <c r="B634" t="s">
        <v>1585</v>
      </c>
      <c r="C634" t="s">
        <v>1576</v>
      </c>
    </row>
    <row r="635" spans="1:3">
      <c r="A635" t="s">
        <v>191</v>
      </c>
      <c r="B635" t="s">
        <v>1586</v>
      </c>
      <c r="C635" t="s">
        <v>1576</v>
      </c>
    </row>
    <row r="636" spans="1:3">
      <c r="A636" t="s">
        <v>191</v>
      </c>
      <c r="B636" t="s">
        <v>1587</v>
      </c>
      <c r="C636" t="s">
        <v>1576</v>
      </c>
    </row>
    <row r="637" spans="1:3">
      <c r="A637" t="s">
        <v>191</v>
      </c>
      <c r="B637" t="s">
        <v>1588</v>
      </c>
      <c r="C637" t="s">
        <v>1576</v>
      </c>
    </row>
    <row r="638" spans="1:3">
      <c r="A638" t="s">
        <v>191</v>
      </c>
      <c r="B638" t="s">
        <v>1589</v>
      </c>
      <c r="C638" t="s">
        <v>1576</v>
      </c>
    </row>
    <row r="639" spans="1:3">
      <c r="A639" t="s">
        <v>191</v>
      </c>
      <c r="B639" t="s">
        <v>1519</v>
      </c>
      <c r="C639" t="s">
        <v>1576</v>
      </c>
    </row>
    <row r="640" spans="1:3">
      <c r="A640" t="s">
        <v>191</v>
      </c>
      <c r="B640" t="s">
        <v>1520</v>
      </c>
      <c r="C640" t="s">
        <v>1576</v>
      </c>
    </row>
    <row r="641" spans="1:3">
      <c r="A641" t="s">
        <v>191</v>
      </c>
      <c r="B641" t="s">
        <v>1521</v>
      </c>
      <c r="C641" t="s">
        <v>1576</v>
      </c>
    </row>
    <row r="642" spans="1:3">
      <c r="A642" t="s">
        <v>191</v>
      </c>
      <c r="B642" t="s">
        <v>1526</v>
      </c>
      <c r="C642" t="s">
        <v>1576</v>
      </c>
    </row>
    <row r="643" spans="1:3">
      <c r="A643" t="s">
        <v>191</v>
      </c>
      <c r="B643" t="s">
        <v>1527</v>
      </c>
      <c r="C643" t="s">
        <v>1576</v>
      </c>
    </row>
    <row r="644" spans="1:3">
      <c r="A644" t="s">
        <v>191</v>
      </c>
      <c r="B644" t="s">
        <v>1528</v>
      </c>
      <c r="C644" t="s">
        <v>1576</v>
      </c>
    </row>
    <row r="645" spans="1:3">
      <c r="A645" t="s">
        <v>191</v>
      </c>
      <c r="B645" t="s">
        <v>1529</v>
      </c>
      <c r="C645" t="s">
        <v>1576</v>
      </c>
    </row>
    <row r="646" spans="1:3">
      <c r="A646" t="s">
        <v>191</v>
      </c>
      <c r="B646" t="s">
        <v>1530</v>
      </c>
      <c r="C646" t="s">
        <v>1576</v>
      </c>
    </row>
    <row r="647" spans="1:3">
      <c r="A647" t="s">
        <v>191</v>
      </c>
      <c r="B647" t="s">
        <v>1531</v>
      </c>
      <c r="C647" t="s">
        <v>1576</v>
      </c>
    </row>
    <row r="648" spans="1:3">
      <c r="A648" t="s">
        <v>191</v>
      </c>
      <c r="B648" t="s">
        <v>1532</v>
      </c>
      <c r="C648" t="s">
        <v>1576</v>
      </c>
    </row>
    <row r="649" spans="1:3">
      <c r="A649" t="s">
        <v>191</v>
      </c>
      <c r="B649" t="s">
        <v>1533</v>
      </c>
      <c r="C649" t="s">
        <v>1576</v>
      </c>
    </row>
    <row r="650" spans="1:3">
      <c r="A650" t="s">
        <v>191</v>
      </c>
      <c r="B650" t="s">
        <v>1534</v>
      </c>
      <c r="C650" t="s">
        <v>1576</v>
      </c>
    </row>
    <row r="651" spans="1:3">
      <c r="A651" t="s">
        <v>191</v>
      </c>
      <c r="B651" t="s">
        <v>1535</v>
      </c>
      <c r="C651" t="s">
        <v>1576</v>
      </c>
    </row>
    <row r="652" spans="1:3">
      <c r="A652" t="s">
        <v>191</v>
      </c>
      <c r="B652" t="s">
        <v>1536</v>
      </c>
      <c r="C652" t="s">
        <v>1576</v>
      </c>
    </row>
    <row r="653" spans="1:3">
      <c r="A653" t="s">
        <v>191</v>
      </c>
      <c r="B653" t="s">
        <v>1537</v>
      </c>
      <c r="C653" t="s">
        <v>1576</v>
      </c>
    </row>
    <row r="654" spans="1:3">
      <c r="A654" t="s">
        <v>191</v>
      </c>
      <c r="B654" t="s">
        <v>1538</v>
      </c>
      <c r="C654" t="s">
        <v>1576</v>
      </c>
    </row>
    <row r="655" spans="1:3">
      <c r="A655" t="s">
        <v>191</v>
      </c>
      <c r="B655" t="s">
        <v>1539</v>
      </c>
      <c r="C655" t="s">
        <v>1576</v>
      </c>
    </row>
    <row r="656" spans="1:3">
      <c r="A656" t="s">
        <v>191</v>
      </c>
      <c r="B656" t="s">
        <v>1540</v>
      </c>
      <c r="C656" t="s">
        <v>1576</v>
      </c>
    </row>
    <row r="657" spans="1:3">
      <c r="A657" t="s">
        <v>191</v>
      </c>
      <c r="B657" t="s">
        <v>1541</v>
      </c>
      <c r="C657" t="s">
        <v>1576</v>
      </c>
    </row>
    <row r="658" spans="1:3">
      <c r="A658" t="s">
        <v>191</v>
      </c>
      <c r="B658" t="s">
        <v>1542</v>
      </c>
      <c r="C658" t="s">
        <v>1576</v>
      </c>
    </row>
    <row r="659" spans="1:3">
      <c r="A659" t="s">
        <v>191</v>
      </c>
      <c r="B659" t="s">
        <v>1590</v>
      </c>
      <c r="C659" t="s">
        <v>1576</v>
      </c>
    </row>
    <row r="660" spans="1:3">
      <c r="A660" t="s">
        <v>191</v>
      </c>
      <c r="B660" t="s">
        <v>1544</v>
      </c>
      <c r="C660" t="s">
        <v>1576</v>
      </c>
    </row>
    <row r="661" spans="1:3">
      <c r="A661" t="s">
        <v>191</v>
      </c>
      <c r="B661" t="s">
        <v>1545</v>
      </c>
      <c r="C661" t="s">
        <v>1576</v>
      </c>
    </row>
    <row r="662" spans="1:3">
      <c r="A662" t="s">
        <v>191</v>
      </c>
      <c r="B662" t="s">
        <v>1548</v>
      </c>
      <c r="C662" t="s">
        <v>1576</v>
      </c>
    </row>
  </sheetData>
  <autoFilter ref="A1:G336" xr:uid="{00000000-0009-0000-0000-00000A000000}">
    <filterColumn colId="3" showButton="0"/>
    <filterColumn colId="4" showButton="0"/>
    <filterColumn colId="5" showButton="0"/>
  </autoFilter>
  <sortState xmlns:xlrd2="http://schemas.microsoft.com/office/spreadsheetml/2017/richdata2" ref="A255:B461">
    <sortCondition ref="B255:B461"/>
  </sortState>
  <mergeCells count="1">
    <mergeCell ref="D1:G1"/>
  </mergeCells>
  <printOptions horizontalCentered="1" verticalCentered="1"/>
  <pageMargins left="0.5" right="0.5" top="1.75" bottom="0.5" header="0" footer="0"/>
  <pageSetup scale="89" fitToHeight="0" orientation="landscape" cellComments="atEnd" verticalDpi="0" r:id="rId1"/>
  <customProperties>
    <customPr name="GUID" r:id="rId2"/>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pageSetUpPr fitToPage="1"/>
  </sheetPr>
  <dimension ref="A1:EG1011"/>
  <sheetViews>
    <sheetView showGridLines="0" zoomScaleNormal="100" zoomScaleSheetLayoutView="90" zoomScalePageLayoutView="140" workbookViewId="0">
      <pane xSplit="5" ySplit="11" topLeftCell="F12" activePane="bottomRight" state="frozenSplit"/>
      <selection pane="topRight" activeCell="F1" sqref="F1"/>
      <selection pane="bottomLeft" activeCell="A12" sqref="A12"/>
      <selection pane="bottomRight" activeCell="J29" sqref="J29"/>
    </sheetView>
  </sheetViews>
  <sheetFormatPr defaultColWidth="8.85546875" defaultRowHeight="12.75"/>
  <cols>
    <col min="1" max="1" width="4.5703125" style="397" customWidth="1"/>
    <col min="2" max="2" width="22.42578125" customWidth="1"/>
    <col min="3" max="3" width="24.85546875" customWidth="1"/>
    <col min="4" max="4" width="8.85546875" hidden="1" customWidth="1"/>
    <col min="5" max="5" width="2.42578125" customWidth="1"/>
    <col min="6" max="7" width="8.85546875" style="347"/>
    <col min="8" max="8" width="25.42578125" style="345" customWidth="1"/>
    <col min="9" max="9" width="8.85546875" style="363"/>
    <col min="10" max="10" width="10.5703125" style="357" bestFit="1" customWidth="1"/>
    <col min="11" max="11" width="10.5703125" style="357" customWidth="1"/>
    <col min="12" max="12" width="9.5703125" style="357" bestFit="1" customWidth="1"/>
    <col min="13" max="13" width="9.5703125" style="357" hidden="1" customWidth="1"/>
    <col min="14" max="14" width="10.42578125" style="347" customWidth="1"/>
    <col min="15" max="15" width="25.42578125" style="345" customWidth="1"/>
    <col min="16" max="16" width="19.42578125" style="397" customWidth="1"/>
    <col min="17" max="17" width="24.140625" customWidth="1"/>
  </cols>
  <sheetData>
    <row r="1" spans="1:137" s="216" customFormat="1" ht="18" customHeight="1">
      <c r="A1" s="212" t="s">
        <v>1591</v>
      </c>
      <c r="D1" s="224"/>
      <c r="E1" s="212"/>
      <c r="F1" s="341"/>
      <c r="G1" s="341"/>
      <c r="H1" s="213"/>
      <c r="I1" s="361"/>
      <c r="J1" s="354"/>
      <c r="K1" s="354"/>
      <c r="L1" s="355"/>
      <c r="M1" s="355"/>
      <c r="N1" s="343" t="str">
        <f>'Rent Roll Summary Input'!Q1</f>
        <v/>
      </c>
      <c r="O1" s="215"/>
      <c r="P1" s="224"/>
      <c r="R1" s="224"/>
    </row>
    <row r="2" spans="1:137" s="219" customFormat="1" ht="3" customHeight="1">
      <c r="A2" s="448"/>
      <c r="E2" s="217"/>
      <c r="F2" s="342"/>
      <c r="G2" s="342"/>
      <c r="H2" s="217"/>
      <c r="I2" s="362"/>
      <c r="J2" s="356"/>
      <c r="K2" s="356"/>
      <c r="L2" s="356"/>
      <c r="M2" s="356"/>
      <c r="N2" s="342"/>
      <c r="O2" s="218"/>
      <c r="P2" s="448"/>
    </row>
    <row r="3" spans="1:137" ht="14.25">
      <c r="N3" s="378" t="s">
        <v>1592</v>
      </c>
    </row>
    <row r="4" spans="1:137" ht="15" customHeight="1">
      <c r="B4" s="1614" t="s">
        <v>1593</v>
      </c>
      <c r="C4" s="1614"/>
      <c r="D4" s="1614"/>
      <c r="F4" s="1613" t="s">
        <v>1594</v>
      </c>
      <c r="G4" s="1613"/>
      <c r="H4" s="1613"/>
      <c r="I4" s="1613"/>
      <c r="J4" s="1613"/>
      <c r="K4" s="1613"/>
      <c r="L4" s="379"/>
      <c r="M4" s="379"/>
      <c r="N4" s="1607" t="s">
        <v>1902</v>
      </c>
      <c r="O4" s="1608"/>
    </row>
    <row r="5" spans="1:137" ht="15" customHeight="1">
      <c r="B5" s="1614"/>
      <c r="C5" s="1614"/>
      <c r="D5" s="1614"/>
      <c r="F5" s="1613"/>
      <c r="G5" s="1613"/>
      <c r="H5" s="1613"/>
      <c r="I5" s="1613"/>
      <c r="J5" s="1613"/>
      <c r="K5" s="1613"/>
      <c r="L5" s="379"/>
      <c r="M5" s="379"/>
      <c r="N5" s="1609" t="str">
        <f>IF(N4="Total Gross Square Feet","Use this option only if individual unit square footage is not available","")</f>
        <v>Use this option only if individual unit square footage is not available</v>
      </c>
      <c r="O5" s="1609"/>
    </row>
    <row r="6" spans="1:137" ht="15" customHeight="1">
      <c r="B6" s="1614"/>
      <c r="C6" s="1614"/>
      <c r="D6" s="1614"/>
      <c r="F6" s="1613"/>
      <c r="G6" s="1613"/>
      <c r="H6" s="1613"/>
      <c r="I6" s="1613"/>
      <c r="J6" s="1613"/>
      <c r="K6" s="1613"/>
      <c r="L6" s="379"/>
      <c r="M6" s="379"/>
      <c r="N6" s="1610"/>
      <c r="O6" s="1610"/>
    </row>
    <row r="7" spans="1:137" ht="19.5" customHeight="1">
      <c r="F7" s="1613"/>
      <c r="G7" s="1613"/>
      <c r="H7" s="1613"/>
      <c r="I7" s="1613"/>
      <c r="J7" s="1613"/>
      <c r="K7" s="1613"/>
      <c r="N7" s="378" t="str">
        <f>IF(N4="Total Gross Square Feet","Total Gross Square Feet:","")</f>
        <v>Total Gross Square Feet:</v>
      </c>
    </row>
    <row r="8" spans="1:137" ht="15">
      <c r="B8" s="1" t="s">
        <v>1595</v>
      </c>
      <c r="F8" s="346"/>
      <c r="H8" s="533" t="s">
        <v>1596</v>
      </c>
      <c r="I8" s="1035" t="s">
        <v>127</v>
      </c>
      <c r="L8" s="513">
        <f>COUNTA($I$12:$I$1048576)</f>
        <v>27</v>
      </c>
      <c r="M8" s="531"/>
      <c r="N8" s="1110">
        <v>22674</v>
      </c>
      <c r="O8" s="532"/>
    </row>
    <row r="9" spans="1:137" ht="4.5" customHeight="1"/>
    <row r="10" spans="1:137">
      <c r="B10" s="1565" t="s">
        <v>42</v>
      </c>
      <c r="C10" s="1611" t="s">
        <v>986</v>
      </c>
      <c r="D10" s="399"/>
      <c r="F10" s="408"/>
      <c r="G10" s="348" t="s">
        <v>987</v>
      </c>
      <c r="H10" s="349"/>
      <c r="I10" s="364" t="s">
        <v>988</v>
      </c>
      <c r="J10" s="358" t="s">
        <v>78</v>
      </c>
      <c r="K10" s="358" t="s">
        <v>145</v>
      </c>
      <c r="L10" s="358" t="s">
        <v>40</v>
      </c>
      <c r="M10" s="358" t="s">
        <v>1597</v>
      </c>
      <c r="N10" s="348"/>
      <c r="O10" s="409"/>
    </row>
    <row r="11" spans="1:137" ht="13.5">
      <c r="B11" s="1566"/>
      <c r="C11" s="1612"/>
      <c r="D11" s="1048" t="s">
        <v>989</v>
      </c>
      <c r="F11" s="948" t="s">
        <v>990</v>
      </c>
      <c r="G11" s="442" t="s">
        <v>991</v>
      </c>
      <c r="H11" s="350" t="s">
        <v>986</v>
      </c>
      <c r="I11" s="443" t="s">
        <v>992</v>
      </c>
      <c r="J11" s="360" t="s">
        <v>993</v>
      </c>
      <c r="K11" s="360" t="s">
        <v>993</v>
      </c>
      <c r="L11" s="360" t="s">
        <v>993</v>
      </c>
      <c r="M11" s="360" t="s">
        <v>993</v>
      </c>
      <c r="N11" s="351"/>
      <c r="O11" s="567"/>
    </row>
    <row r="12" spans="1:137">
      <c r="A12" s="554" t="str">
        <f>IFERROR(VALUE(LEFT(B12,1))&amp;" Bedroom",IFERROR(VLOOKUP(LEFT(B12,3),DDL_UnitLookup,2,FALSE),"Unknown"))</f>
        <v>1 Bedroom</v>
      </c>
      <c r="B12" s="1034" t="s">
        <v>914</v>
      </c>
      <c r="C12" s="1034" t="s">
        <v>914</v>
      </c>
      <c r="D12" s="401" t="s">
        <v>994</v>
      </c>
      <c r="F12" s="347">
        <v>1</v>
      </c>
      <c r="G12" s="1543" t="s">
        <v>1930</v>
      </c>
      <c r="H12" s="1544" t="s">
        <v>1931</v>
      </c>
      <c r="I12" s="1545">
        <v>2500</v>
      </c>
      <c r="J12" s="1546"/>
      <c r="K12" s="386">
        <f t="shared" ref="K12:K38" si="0">IF(J12=0,L12,J12)</f>
        <v>5000</v>
      </c>
      <c r="L12" s="1546">
        <v>5000</v>
      </c>
      <c r="M12" s="394"/>
      <c r="N12" s="515" t="str">
        <f t="shared" ref="N12:N38" si="1">IFERROR(IF(H12="","",INDEX($D$12:$D$36,MATCH(H12,$C$12:$C$36,0))),"")</f>
        <v>3A</v>
      </c>
      <c r="O12" s="554" t="str">
        <f t="shared" ref="O12:O38" si="2">IFERROR(INDEX($B$12:$B$36,MATCH($N12,$D$12:$D$36,0)),"")</f>
        <v>4 Bed / 3 Bath House</v>
      </c>
      <c r="P12" s="444" t="str">
        <f>IFERROR(INDEX($A$12:$A$36,MATCH($N12,$D$12:$D$36,0)),"")</f>
        <v>4 Bedroom</v>
      </c>
      <c r="Q12" s="444" t="str">
        <f t="array" ref="Q12">IF(ISREF((INDEX($C$12:$C$36,SMALL(IF($C$12:$C$36&lt;&gt;"",ROW($C$12:$C$36)),ROW(B1))-11))),(INDEX($C$12:$C$36,SMALL(IF($C$12:$C$36&lt;&gt;"",ROW($C$12:$C$36)),ROW(B1))-11)),"-")</f>
        <v>1 Bed / 1 Bath</v>
      </c>
      <c r="R12" s="444" t="str">
        <f ca="1">OFFSET('Rent Roll Detail Input'!$Q$12,0,0,'Rent Roll Detail Input'!$Q$43,1)</f>
        <v>1 Bed / 1 Bath</v>
      </c>
      <c r="S12" s="397"/>
      <c r="T12" s="397"/>
      <c r="U12" s="397"/>
      <c r="V12" s="397"/>
      <c r="W12" s="397"/>
      <c r="X12" s="397"/>
      <c r="Y12" s="397"/>
      <c r="Z12" s="397"/>
      <c r="AA12" s="397"/>
      <c r="AB12" s="397"/>
      <c r="AC12" s="397"/>
      <c r="AD12" s="397"/>
      <c r="AE12" s="397"/>
      <c r="AF12" s="397"/>
      <c r="AG12" s="397"/>
      <c r="AH12" s="397"/>
      <c r="AI12" s="397"/>
      <c r="AJ12" s="397"/>
      <c r="AK12" s="397"/>
      <c r="AL12" s="397"/>
      <c r="AM12" s="397"/>
      <c r="AN12" s="397"/>
      <c r="AO12" s="397"/>
      <c r="AP12" s="397"/>
      <c r="AQ12" s="397"/>
      <c r="AR12" s="397"/>
      <c r="AS12" s="397"/>
      <c r="AT12" s="397"/>
      <c r="AU12" s="397"/>
      <c r="AV12" s="397"/>
      <c r="AW12" s="397"/>
      <c r="AX12" s="397"/>
      <c r="AY12" s="397"/>
      <c r="AZ12" s="397"/>
      <c r="BA12" s="397"/>
      <c r="BB12" s="397"/>
      <c r="BC12" s="397"/>
      <c r="BD12" s="397"/>
      <c r="BE12" s="397"/>
      <c r="BF12" s="397"/>
      <c r="BG12" s="397"/>
      <c r="BH12" s="397"/>
      <c r="BI12" s="397"/>
      <c r="BJ12" s="397"/>
      <c r="BK12" s="397"/>
      <c r="BL12" s="397"/>
      <c r="BM12" s="397"/>
      <c r="BN12" s="397"/>
      <c r="BO12" s="397"/>
      <c r="BP12" s="397"/>
      <c r="BQ12" s="397"/>
      <c r="BR12" s="397"/>
      <c r="BS12" s="397"/>
      <c r="BT12" s="397"/>
      <c r="BU12" s="397"/>
      <c r="BV12" s="397"/>
      <c r="BW12" s="397"/>
      <c r="BX12" s="397"/>
      <c r="BY12" s="397"/>
      <c r="BZ12" s="397"/>
      <c r="CA12" s="397"/>
      <c r="CB12" s="397"/>
      <c r="CC12" s="397"/>
      <c r="CD12" s="397"/>
      <c r="CE12" s="397"/>
      <c r="CF12" s="397"/>
      <c r="CG12" s="397"/>
      <c r="CH12" s="397"/>
      <c r="CI12" s="397"/>
      <c r="CJ12" s="397"/>
      <c r="CK12" s="397"/>
      <c r="CL12" s="397"/>
      <c r="CM12" s="397"/>
      <c r="CN12" s="397"/>
      <c r="CO12" s="397"/>
      <c r="CP12" s="397"/>
      <c r="CQ12" s="397"/>
      <c r="CR12" s="397"/>
      <c r="CS12" s="397"/>
      <c r="CT12" s="397"/>
      <c r="CU12" s="397"/>
      <c r="CV12" s="397"/>
      <c r="CW12" s="397"/>
      <c r="CX12" s="397"/>
      <c r="CY12" s="397"/>
      <c r="CZ12" s="397"/>
      <c r="DA12" s="397"/>
      <c r="DB12" s="397"/>
      <c r="DC12" s="397"/>
      <c r="DD12" s="397"/>
      <c r="DE12" s="397"/>
      <c r="DF12" s="397"/>
      <c r="DG12" s="397"/>
      <c r="DH12" s="397"/>
      <c r="DI12" s="397"/>
      <c r="DJ12" s="397"/>
      <c r="DK12" s="397"/>
      <c r="DL12" s="397"/>
      <c r="DM12" s="397"/>
      <c r="DN12" s="397"/>
      <c r="DO12" s="397"/>
      <c r="DP12" s="397"/>
      <c r="DQ12" s="397"/>
      <c r="DR12" s="397"/>
      <c r="DS12" s="397"/>
      <c r="DT12" s="397"/>
      <c r="DU12" s="397"/>
      <c r="DV12" s="397"/>
      <c r="DW12" s="397"/>
      <c r="DX12" s="397"/>
      <c r="DY12" s="397"/>
      <c r="DZ12" s="397"/>
      <c r="EA12" s="397"/>
      <c r="EB12" s="397"/>
      <c r="EC12" s="397"/>
      <c r="ED12" s="397"/>
      <c r="EE12" s="397"/>
      <c r="EF12" s="397"/>
      <c r="EG12" s="397"/>
    </row>
    <row r="13" spans="1:137">
      <c r="A13" s="554" t="str">
        <f t="shared" ref="A13:B16" si="3">A12</f>
        <v>1 Bedroom</v>
      </c>
      <c r="B13" s="402" t="str">
        <f t="shared" si="3"/>
        <v>1 Bed / 1 Bath</v>
      </c>
      <c r="C13" s="1028"/>
      <c r="D13" s="401" t="s">
        <v>995</v>
      </c>
      <c r="F13" s="347">
        <f t="shared" ref="F13:F38" si="4">F12+1</f>
        <v>2</v>
      </c>
      <c r="G13" s="1543" t="s">
        <v>1901</v>
      </c>
      <c r="H13" s="1544" t="s">
        <v>1900</v>
      </c>
      <c r="I13" s="1545">
        <v>750</v>
      </c>
      <c r="J13" s="1546">
        <v>2040</v>
      </c>
      <c r="K13" s="386">
        <f t="shared" si="0"/>
        <v>2040</v>
      </c>
      <c r="L13" s="1546">
        <v>2650</v>
      </c>
      <c r="M13" s="394"/>
      <c r="N13" s="515" t="str">
        <f t="shared" si="1"/>
        <v>2A</v>
      </c>
      <c r="O13" s="554" t="str">
        <f t="shared" si="2"/>
        <v>2 Bed / 1 Bath</v>
      </c>
      <c r="P13" s="444" t="str">
        <f t="shared" ref="P13:P76" si="5">IFERROR(INDEX($A$12:$A$36,MATCH($N13,$D$12:$D$36,0)),"")</f>
        <v>2 Bedroom</v>
      </c>
      <c r="Q13" s="444" t="str">
        <f t="array" ref="Q13">IF(ISREF((INDEX($C$12:$C$36,SMALL(IF($C$12:$C$36&lt;&gt;"",ROW($C$12:$C$36)),ROW(B2))-11))),(INDEX($C$12:$C$36,SMALL(IF($C$12:$C$36&lt;&gt;"",ROW($C$12:$C$36)),ROW(B2))-11)),"-")</f>
        <v>2 Bed / 1 Bath</v>
      </c>
      <c r="R13" s="444"/>
      <c r="S13" s="397"/>
      <c r="T13" s="397"/>
      <c r="U13" s="397"/>
      <c r="V13" s="397"/>
      <c r="W13" s="397"/>
      <c r="X13" s="397"/>
      <c r="Y13" s="397"/>
      <c r="Z13" s="397"/>
      <c r="AA13" s="397"/>
      <c r="AB13" s="397"/>
      <c r="AC13" s="397"/>
      <c r="AD13" s="397"/>
      <c r="AE13" s="397"/>
      <c r="AF13" s="397"/>
      <c r="AG13" s="397"/>
      <c r="AH13" s="397"/>
      <c r="AI13" s="397"/>
      <c r="AJ13" s="397"/>
      <c r="AK13" s="397"/>
      <c r="AL13" s="397"/>
      <c r="AM13" s="397"/>
      <c r="AN13" s="397"/>
      <c r="AO13" s="397"/>
      <c r="AP13" s="397"/>
      <c r="AQ13" s="397"/>
      <c r="AR13" s="397"/>
      <c r="AS13" s="397"/>
      <c r="AT13" s="397"/>
      <c r="AU13" s="397"/>
      <c r="AV13" s="397"/>
      <c r="AW13" s="397"/>
      <c r="AX13" s="397"/>
      <c r="AY13" s="397"/>
      <c r="AZ13" s="397"/>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c r="CH13" s="397"/>
      <c r="CI13" s="397"/>
      <c r="CJ13" s="397"/>
      <c r="CK13" s="397"/>
      <c r="CL13" s="397"/>
      <c r="CM13" s="397"/>
      <c r="CN13" s="397"/>
      <c r="CO13" s="397"/>
      <c r="CP13" s="397"/>
      <c r="CQ13" s="397"/>
      <c r="CR13" s="397"/>
      <c r="CS13" s="397"/>
      <c r="CT13" s="397"/>
      <c r="CU13" s="397"/>
      <c r="CV13" s="397"/>
      <c r="CW13" s="397"/>
      <c r="CX13" s="397"/>
      <c r="CY13" s="397"/>
      <c r="CZ13" s="397"/>
      <c r="DA13" s="397"/>
      <c r="DB13" s="397"/>
      <c r="DC13" s="397"/>
      <c r="DD13" s="397"/>
      <c r="DE13" s="397"/>
      <c r="DF13" s="397"/>
      <c r="DG13" s="397"/>
      <c r="DH13" s="397"/>
      <c r="DI13" s="397"/>
      <c r="DJ13" s="397"/>
      <c r="DK13" s="397"/>
      <c r="DL13" s="397"/>
      <c r="DM13" s="397"/>
      <c r="DN13" s="397"/>
      <c r="DO13" s="397"/>
      <c r="DP13" s="397"/>
      <c r="DQ13" s="397"/>
      <c r="DR13" s="397"/>
      <c r="DS13" s="397"/>
      <c r="DT13" s="397"/>
      <c r="DU13" s="397"/>
      <c r="DV13" s="397"/>
      <c r="DW13" s="397"/>
      <c r="DX13" s="397"/>
      <c r="DY13" s="397"/>
      <c r="DZ13" s="397"/>
      <c r="EA13" s="397"/>
      <c r="EB13" s="397"/>
      <c r="EC13" s="397"/>
      <c r="ED13" s="397"/>
      <c r="EE13" s="397"/>
      <c r="EF13" s="397"/>
      <c r="EG13" s="397"/>
    </row>
    <row r="14" spans="1:137">
      <c r="A14" s="554" t="str">
        <f t="shared" si="3"/>
        <v>1 Bedroom</v>
      </c>
      <c r="B14" s="402" t="str">
        <f t="shared" si="3"/>
        <v>1 Bed / 1 Bath</v>
      </c>
      <c r="C14" s="1029"/>
      <c r="D14" s="401" t="s">
        <v>1598</v>
      </c>
      <c r="F14" s="347">
        <f t="shared" si="4"/>
        <v>3</v>
      </c>
      <c r="G14" s="1543" t="s">
        <v>1903</v>
      </c>
      <c r="H14" s="1544" t="s">
        <v>1900</v>
      </c>
      <c r="I14" s="1545">
        <v>750</v>
      </c>
      <c r="J14" s="1546">
        <v>2205</v>
      </c>
      <c r="K14" s="386">
        <f t="shared" si="0"/>
        <v>2205</v>
      </c>
      <c r="L14" s="1546">
        <v>2650</v>
      </c>
      <c r="M14" s="394"/>
      <c r="N14" s="515" t="str">
        <f t="shared" si="1"/>
        <v>2A</v>
      </c>
      <c r="O14" s="554" t="str">
        <f t="shared" si="2"/>
        <v>2 Bed / 1 Bath</v>
      </c>
      <c r="P14" s="444" t="str">
        <f t="shared" si="5"/>
        <v>2 Bedroom</v>
      </c>
      <c r="Q14" s="444" t="str">
        <f t="array" ref="Q14">IF(ISREF((INDEX($C$12:$C$36,SMALL(IF($C$12:$C$36&lt;&gt;"",ROW($C$12:$C$36)),ROW(B3))-11))),(INDEX($C$12:$C$36,SMALL(IF($C$12:$C$36&lt;&gt;"",ROW($C$12:$C$36)),ROW(B3))-11)),"-")</f>
        <v>2 Bed / 1 Bath (vacant)</v>
      </c>
      <c r="R14" s="444"/>
      <c r="S14" s="397"/>
      <c r="T14" s="397"/>
      <c r="U14" s="397"/>
      <c r="V14" s="397"/>
      <c r="W14" s="39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397"/>
      <c r="BA14" s="397"/>
      <c r="BB14" s="397"/>
      <c r="BC14" s="397"/>
      <c r="BD14" s="397"/>
      <c r="BE14" s="397"/>
      <c r="BF14" s="397"/>
      <c r="BG14" s="397"/>
      <c r="BH14" s="397"/>
      <c r="BI14" s="397"/>
      <c r="BJ14" s="397"/>
      <c r="BK14" s="397"/>
      <c r="BL14" s="397"/>
      <c r="BM14" s="397"/>
      <c r="BN14" s="397"/>
      <c r="BO14" s="397"/>
      <c r="BP14" s="397"/>
      <c r="BQ14" s="397"/>
      <c r="BR14" s="397"/>
      <c r="BS14" s="397"/>
      <c r="BT14" s="397"/>
      <c r="BU14" s="397"/>
      <c r="BV14" s="397"/>
      <c r="BW14" s="397"/>
      <c r="BX14" s="397"/>
      <c r="BY14" s="397"/>
      <c r="BZ14" s="397"/>
      <c r="CA14" s="397"/>
      <c r="CB14" s="397"/>
      <c r="CC14" s="397"/>
      <c r="CD14" s="397"/>
      <c r="CE14" s="397"/>
      <c r="CF14" s="397"/>
      <c r="CG14" s="397"/>
      <c r="CH14" s="397"/>
      <c r="CI14" s="397"/>
      <c r="CJ14" s="397"/>
      <c r="CK14" s="397"/>
      <c r="CL14" s="397"/>
      <c r="CM14" s="397"/>
      <c r="CN14" s="397"/>
      <c r="CO14" s="397"/>
      <c r="CP14" s="397"/>
      <c r="CQ14" s="397"/>
      <c r="CR14" s="397"/>
      <c r="CS14" s="397"/>
      <c r="CT14" s="397"/>
      <c r="CU14" s="397"/>
      <c r="CV14" s="397"/>
      <c r="CW14" s="397"/>
      <c r="CX14" s="397"/>
      <c r="CY14" s="397"/>
      <c r="CZ14" s="397"/>
      <c r="DA14" s="397"/>
      <c r="DB14" s="397"/>
      <c r="DC14" s="397"/>
      <c r="DD14" s="397"/>
      <c r="DE14" s="397"/>
      <c r="DF14" s="397"/>
      <c r="DG14" s="397"/>
      <c r="DH14" s="397"/>
      <c r="DI14" s="397"/>
      <c r="DJ14" s="397"/>
      <c r="DK14" s="397"/>
      <c r="DL14" s="397"/>
      <c r="DM14" s="397"/>
      <c r="DN14" s="397"/>
      <c r="DO14" s="397"/>
      <c r="DP14" s="397"/>
      <c r="DQ14" s="397"/>
      <c r="DR14" s="397"/>
      <c r="DS14" s="397"/>
      <c r="DT14" s="397"/>
      <c r="DU14" s="397"/>
      <c r="DV14" s="397"/>
      <c r="DW14" s="397"/>
      <c r="DX14" s="397"/>
      <c r="DY14" s="397"/>
      <c r="DZ14" s="397"/>
      <c r="EA14" s="397"/>
      <c r="EB14" s="397"/>
      <c r="EC14" s="397"/>
      <c r="ED14" s="397"/>
      <c r="EE14" s="397"/>
      <c r="EF14" s="397"/>
      <c r="EG14" s="397"/>
    </row>
    <row r="15" spans="1:137">
      <c r="A15" s="554" t="str">
        <f t="shared" si="3"/>
        <v>1 Bedroom</v>
      </c>
      <c r="B15" s="402" t="str">
        <f t="shared" si="3"/>
        <v>1 Bed / 1 Bath</v>
      </c>
      <c r="C15" s="1029"/>
      <c r="D15" s="401" t="s">
        <v>1599</v>
      </c>
      <c r="F15" s="347">
        <f t="shared" si="4"/>
        <v>4</v>
      </c>
      <c r="G15" s="1543" t="s">
        <v>1904</v>
      </c>
      <c r="H15" s="1544" t="s">
        <v>1900</v>
      </c>
      <c r="I15" s="1545">
        <v>750</v>
      </c>
      <c r="J15" s="1546">
        <v>2299</v>
      </c>
      <c r="K15" s="386">
        <f t="shared" si="0"/>
        <v>2299</v>
      </c>
      <c r="L15" s="1546">
        <v>2650</v>
      </c>
      <c r="M15" s="394"/>
      <c r="N15" s="515" t="str">
        <f t="shared" si="1"/>
        <v>2A</v>
      </c>
      <c r="O15" s="554" t="str">
        <f t="shared" si="2"/>
        <v>2 Bed / 1 Bath</v>
      </c>
      <c r="P15" s="444" t="str">
        <f t="shared" si="5"/>
        <v>2 Bedroom</v>
      </c>
      <c r="Q15" s="444" t="str">
        <f t="array" ref="Q15">IF(ISREF((INDEX($C$12:$C$36,SMALL(IF($C$12:$C$36&lt;&gt;"",ROW($C$12:$C$36)),ROW(B4))-11))),(INDEX($C$12:$C$36,SMALL(IF($C$12:$C$36&lt;&gt;"",ROW($C$12:$C$36)),ROW(B4))-11)),"-")</f>
        <v>4 Bed / 3 Bath House</v>
      </c>
      <c r="R15" s="444"/>
      <c r="S15" s="397"/>
      <c r="T15" s="397"/>
      <c r="U15" s="397"/>
      <c r="V15" s="397"/>
      <c r="W15" s="397"/>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397"/>
      <c r="BA15" s="397"/>
      <c r="BB15" s="397"/>
      <c r="BC15" s="397"/>
      <c r="BD15" s="397"/>
      <c r="BE15" s="397"/>
      <c r="BF15" s="397"/>
      <c r="BG15" s="397"/>
      <c r="BH15" s="397"/>
      <c r="BI15" s="397"/>
      <c r="BJ15" s="397"/>
      <c r="BK15" s="397"/>
      <c r="BL15" s="397"/>
      <c r="BM15" s="397"/>
      <c r="BN15" s="397"/>
      <c r="BO15" s="397"/>
      <c r="BP15" s="397"/>
      <c r="BQ15" s="397"/>
      <c r="BR15" s="397"/>
      <c r="BS15" s="397"/>
      <c r="BT15" s="397"/>
      <c r="BU15" s="397"/>
      <c r="BV15" s="397"/>
      <c r="BW15" s="397"/>
      <c r="BX15" s="397"/>
      <c r="BY15" s="397"/>
      <c r="BZ15" s="397"/>
      <c r="CA15" s="397"/>
      <c r="CB15" s="397"/>
      <c r="CC15" s="397"/>
      <c r="CD15" s="397"/>
      <c r="CE15" s="397"/>
      <c r="CF15" s="397"/>
      <c r="CG15" s="397"/>
      <c r="CH15" s="397"/>
      <c r="CI15" s="397"/>
      <c r="CJ15" s="397"/>
      <c r="CK15" s="397"/>
      <c r="CL15" s="397"/>
      <c r="CM15" s="397"/>
      <c r="CN15" s="397"/>
      <c r="CO15" s="397"/>
      <c r="CP15" s="397"/>
      <c r="CQ15" s="397"/>
      <c r="CR15" s="397"/>
      <c r="CS15" s="397"/>
      <c r="CT15" s="397"/>
      <c r="CU15" s="397"/>
      <c r="CV15" s="397"/>
      <c r="CW15" s="397"/>
      <c r="CX15" s="397"/>
      <c r="CY15" s="397"/>
      <c r="CZ15" s="397"/>
      <c r="DA15" s="397"/>
      <c r="DB15" s="397"/>
      <c r="DC15" s="397"/>
      <c r="DD15" s="397"/>
      <c r="DE15" s="397"/>
      <c r="DF15" s="397"/>
      <c r="DG15" s="397"/>
      <c r="DH15" s="397"/>
      <c r="DI15" s="397"/>
      <c r="DJ15" s="397"/>
      <c r="DK15" s="397"/>
      <c r="DL15" s="397"/>
      <c r="DM15" s="397"/>
      <c r="DN15" s="397"/>
      <c r="DO15" s="397"/>
      <c r="DP15" s="397"/>
      <c r="DQ15" s="397"/>
      <c r="DR15" s="397"/>
      <c r="DS15" s="397"/>
      <c r="DT15" s="397"/>
      <c r="DU15" s="397"/>
      <c r="DV15" s="397"/>
      <c r="DW15" s="397"/>
      <c r="DX15" s="397"/>
      <c r="DY15" s="397"/>
      <c r="DZ15" s="397"/>
      <c r="EA15" s="397"/>
      <c r="EB15" s="397"/>
      <c r="EC15" s="397"/>
      <c r="ED15" s="397"/>
      <c r="EE15" s="397"/>
      <c r="EF15" s="397"/>
      <c r="EG15" s="397"/>
    </row>
    <row r="16" spans="1:137">
      <c r="A16" s="554" t="str">
        <f t="shared" si="3"/>
        <v>1 Bedroom</v>
      </c>
      <c r="B16" s="402" t="str">
        <f t="shared" si="3"/>
        <v>1 Bed / 1 Bath</v>
      </c>
      <c r="C16" s="1029"/>
      <c r="D16" s="401" t="s">
        <v>1600</v>
      </c>
      <c r="F16" s="347">
        <f t="shared" si="4"/>
        <v>5</v>
      </c>
      <c r="G16" s="1543" t="s">
        <v>1905</v>
      </c>
      <c r="H16" s="1544" t="s">
        <v>914</v>
      </c>
      <c r="I16" s="1548">
        <v>650</v>
      </c>
      <c r="J16" s="1546">
        <v>1895</v>
      </c>
      <c r="K16" s="386">
        <f t="shared" si="0"/>
        <v>1895</v>
      </c>
      <c r="L16" s="1546">
        <v>2295</v>
      </c>
      <c r="M16" s="394"/>
      <c r="N16" s="515" t="str">
        <f t="shared" si="1"/>
        <v>1A</v>
      </c>
      <c r="O16" s="554" t="str">
        <f t="shared" si="2"/>
        <v>1 Bed / 1 Bath</v>
      </c>
      <c r="P16" s="444" t="str">
        <f t="shared" si="5"/>
        <v>1 Bedroom</v>
      </c>
      <c r="Q16" s="444" t="str">
        <f t="array" ref="Q16">IF(ISREF((INDEX($C$12:$C$36,SMALL(IF($C$12:$C$36&lt;&gt;"",ROW($C$12:$C$36)),ROW(B5))-11))),(INDEX($C$12:$C$36,SMALL(IF($C$12:$C$36&lt;&gt;"",ROW($C$12:$C$36)),ROW(B5))-11)),"-")</f>
        <v>-</v>
      </c>
      <c r="R16" s="444"/>
      <c r="S16" s="397"/>
      <c r="T16" s="397"/>
      <c r="U16" s="397"/>
      <c r="V16" s="397"/>
      <c r="W16" s="397"/>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397"/>
      <c r="BA16" s="397"/>
      <c r="BB16" s="397"/>
      <c r="BC16" s="397"/>
      <c r="BD16" s="397"/>
      <c r="BE16" s="397"/>
      <c r="BF16" s="397"/>
      <c r="BG16" s="397"/>
      <c r="BH16" s="397"/>
      <c r="BI16" s="397"/>
      <c r="BJ16" s="397"/>
      <c r="BK16" s="397"/>
      <c r="BL16" s="397"/>
      <c r="BM16" s="397"/>
      <c r="BN16" s="397"/>
      <c r="BO16" s="397"/>
      <c r="BP16" s="397"/>
      <c r="BQ16" s="397"/>
      <c r="BR16" s="397"/>
      <c r="BS16" s="397"/>
      <c r="BT16" s="397"/>
      <c r="BU16" s="397"/>
      <c r="BV16" s="397"/>
      <c r="BW16" s="397"/>
      <c r="BX16" s="397"/>
      <c r="BY16" s="397"/>
      <c r="BZ16" s="397"/>
      <c r="CA16" s="397"/>
      <c r="CB16" s="397"/>
      <c r="CC16" s="397"/>
      <c r="CD16" s="397"/>
      <c r="CE16" s="397"/>
      <c r="CF16" s="397"/>
      <c r="CG16" s="397"/>
      <c r="CH16" s="397"/>
      <c r="CI16" s="397"/>
      <c r="CJ16" s="397"/>
      <c r="CK16" s="397"/>
      <c r="CL16" s="397"/>
      <c r="CM16" s="397"/>
      <c r="CN16" s="397"/>
      <c r="CO16" s="397"/>
      <c r="CP16" s="397"/>
      <c r="CQ16" s="397"/>
      <c r="CR16" s="397"/>
      <c r="CS16" s="397"/>
      <c r="CT16" s="397"/>
      <c r="CU16" s="397"/>
      <c r="CV16" s="397"/>
      <c r="CW16" s="397"/>
      <c r="CX16" s="397"/>
      <c r="CY16" s="397"/>
      <c r="CZ16" s="397"/>
      <c r="DA16" s="397"/>
      <c r="DB16" s="397"/>
      <c r="DC16" s="397"/>
      <c r="DD16" s="397"/>
      <c r="DE16" s="397"/>
      <c r="DF16" s="397"/>
      <c r="DG16" s="397"/>
      <c r="DH16" s="397"/>
      <c r="DI16" s="397"/>
      <c r="DJ16" s="397"/>
      <c r="DK16" s="397"/>
      <c r="DL16" s="397"/>
      <c r="DM16" s="397"/>
      <c r="DN16" s="397"/>
      <c r="DO16" s="397"/>
      <c r="DP16" s="397"/>
      <c r="DQ16" s="397"/>
      <c r="DR16" s="397"/>
      <c r="DS16" s="397"/>
      <c r="DT16" s="397"/>
      <c r="DU16" s="397"/>
      <c r="DV16" s="397"/>
      <c r="DW16" s="397"/>
      <c r="DX16" s="397"/>
      <c r="DY16" s="397"/>
      <c r="DZ16" s="397"/>
      <c r="EA16" s="397"/>
      <c r="EB16" s="397"/>
      <c r="EC16" s="397"/>
      <c r="ED16" s="397"/>
      <c r="EE16" s="397"/>
      <c r="EF16" s="397"/>
      <c r="EG16" s="397"/>
    </row>
    <row r="17" spans="1:137">
      <c r="A17" s="554" t="str">
        <f>IFERROR(VALUE(LEFT(B17,1))&amp;" Bedroom",IFERROR(VLOOKUP(LEFT(B17,3),DDL_UnitLookup,2,FALSE),"Unknown"))</f>
        <v>2 Bedroom</v>
      </c>
      <c r="B17" s="1033" t="s">
        <v>1900</v>
      </c>
      <c r="C17" s="1033" t="s">
        <v>1900</v>
      </c>
      <c r="D17" s="401" t="s">
        <v>996</v>
      </c>
      <c r="F17" s="347">
        <f t="shared" si="4"/>
        <v>6</v>
      </c>
      <c r="G17" s="1543" t="s">
        <v>1906</v>
      </c>
      <c r="H17" s="1544" t="s">
        <v>1932</v>
      </c>
      <c r="I17" s="1545">
        <v>750</v>
      </c>
      <c r="J17" s="1546"/>
      <c r="K17" s="386">
        <f t="shared" si="0"/>
        <v>2650</v>
      </c>
      <c r="L17" s="1546">
        <v>2650</v>
      </c>
      <c r="M17" s="394"/>
      <c r="N17" s="515" t="str">
        <f t="shared" si="1"/>
        <v>2B</v>
      </c>
      <c r="O17" s="554" t="str">
        <f t="shared" si="2"/>
        <v>2 Bed / 1 Bath</v>
      </c>
      <c r="P17" s="444" t="str">
        <f t="shared" si="5"/>
        <v>2 Bedroom</v>
      </c>
      <c r="Q17" s="444" t="str">
        <f t="array" ref="Q17">IF(ISREF((INDEX($C$12:$C$36,SMALL(IF($C$12:$C$36&lt;&gt;"",ROW($C$12:$C$36)),ROW(B6))-11))),(INDEX($C$12:$C$36,SMALL(IF($C$12:$C$36&lt;&gt;"",ROW($C$12:$C$36)),ROW(B6))-11)),"-")</f>
        <v>-</v>
      </c>
      <c r="R17" s="444"/>
      <c r="S17" s="397"/>
      <c r="T17" s="397"/>
      <c r="U17" s="397"/>
      <c r="V17" s="397"/>
      <c r="W17" s="397"/>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397"/>
      <c r="BA17" s="397"/>
      <c r="BB17" s="397"/>
      <c r="BC17" s="397"/>
      <c r="BD17" s="397"/>
      <c r="BE17" s="397"/>
      <c r="BF17" s="397"/>
      <c r="BG17" s="397"/>
      <c r="BH17" s="397"/>
      <c r="BI17" s="397"/>
      <c r="BJ17" s="397"/>
      <c r="BK17" s="397"/>
      <c r="BL17" s="397"/>
      <c r="BM17" s="397"/>
      <c r="BN17" s="397"/>
      <c r="BO17" s="397"/>
      <c r="BP17" s="397"/>
      <c r="BQ17" s="397"/>
      <c r="BR17" s="397"/>
      <c r="BS17" s="397"/>
      <c r="BT17" s="397"/>
      <c r="BU17" s="397"/>
      <c r="BV17" s="397"/>
      <c r="BW17" s="397"/>
      <c r="BX17" s="397"/>
      <c r="BY17" s="397"/>
      <c r="BZ17" s="397"/>
      <c r="CA17" s="397"/>
      <c r="CB17" s="397"/>
      <c r="CC17" s="397"/>
      <c r="CD17" s="397"/>
      <c r="CE17" s="397"/>
      <c r="CF17" s="397"/>
      <c r="CG17" s="397"/>
      <c r="CH17" s="397"/>
      <c r="CI17" s="397"/>
      <c r="CJ17" s="397"/>
      <c r="CK17" s="397"/>
      <c r="CL17" s="397"/>
      <c r="CM17" s="397"/>
      <c r="CN17" s="397"/>
      <c r="CO17" s="397"/>
      <c r="CP17" s="397"/>
      <c r="CQ17" s="397"/>
      <c r="CR17" s="397"/>
      <c r="CS17" s="397"/>
      <c r="CT17" s="397"/>
      <c r="CU17" s="397"/>
      <c r="CV17" s="397"/>
      <c r="CW17" s="397"/>
      <c r="CX17" s="397"/>
      <c r="CY17" s="397"/>
      <c r="CZ17" s="397"/>
      <c r="DA17" s="397"/>
      <c r="DB17" s="397"/>
      <c r="DC17" s="397"/>
      <c r="DD17" s="397"/>
      <c r="DE17" s="397"/>
      <c r="DF17" s="397"/>
      <c r="DG17" s="397"/>
      <c r="DH17" s="397"/>
      <c r="DI17" s="397"/>
      <c r="DJ17" s="397"/>
      <c r="DK17" s="397"/>
      <c r="DL17" s="397"/>
      <c r="DM17" s="397"/>
      <c r="DN17" s="397"/>
      <c r="DO17" s="397"/>
      <c r="DP17" s="397"/>
      <c r="DQ17" s="397"/>
      <c r="DR17" s="397"/>
      <c r="DS17" s="397"/>
      <c r="DT17" s="397"/>
      <c r="DU17" s="397"/>
      <c r="DV17" s="397"/>
      <c r="DW17" s="397"/>
      <c r="DX17" s="397"/>
      <c r="DY17" s="397"/>
      <c r="DZ17" s="397"/>
      <c r="EA17" s="397"/>
      <c r="EB17" s="397"/>
      <c r="EC17" s="397"/>
      <c r="ED17" s="397"/>
      <c r="EE17" s="397"/>
      <c r="EF17" s="397"/>
      <c r="EG17" s="397"/>
    </row>
    <row r="18" spans="1:137">
      <c r="A18" s="554" t="str">
        <f t="shared" ref="A18:B21" si="6">A17</f>
        <v>2 Bedroom</v>
      </c>
      <c r="B18" s="402" t="str">
        <f t="shared" si="6"/>
        <v>2 Bed / 1 Bath</v>
      </c>
      <c r="C18" s="1029" t="s">
        <v>1932</v>
      </c>
      <c r="D18" s="401" t="s">
        <v>1601</v>
      </c>
      <c r="F18" s="347">
        <f t="shared" si="4"/>
        <v>7</v>
      </c>
      <c r="G18" s="1543" t="s">
        <v>1907</v>
      </c>
      <c r="H18" s="1544" t="s">
        <v>1900</v>
      </c>
      <c r="I18" s="1545">
        <v>750</v>
      </c>
      <c r="J18" s="1546">
        <v>2050</v>
      </c>
      <c r="K18" s="386">
        <f t="shared" si="0"/>
        <v>2050</v>
      </c>
      <c r="L18" s="1546">
        <v>2650</v>
      </c>
      <c r="M18" s="394"/>
      <c r="N18" s="515" t="str">
        <f t="shared" si="1"/>
        <v>2A</v>
      </c>
      <c r="O18" s="554" t="str">
        <f t="shared" si="2"/>
        <v>2 Bed / 1 Bath</v>
      </c>
      <c r="P18" s="444" t="str">
        <f t="shared" si="5"/>
        <v>2 Bedroom</v>
      </c>
      <c r="Q18" s="444" t="str">
        <f t="array" ref="Q18">IF(ISREF((INDEX($C$12:$C$36,SMALL(IF($C$12:$C$36&lt;&gt;"",ROW($C$12:$C$36)),ROW(B7))-11))),(INDEX($C$12:$C$36,SMALL(IF($C$12:$C$36&lt;&gt;"",ROW($C$12:$C$36)),ROW(B7))-11)),"-")</f>
        <v>-</v>
      </c>
      <c r="R18" s="444"/>
      <c r="S18" s="397"/>
      <c r="T18" s="397"/>
      <c r="U18" s="397"/>
      <c r="V18" s="397"/>
      <c r="W18" s="397"/>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397"/>
      <c r="BA18" s="397"/>
      <c r="BB18" s="397"/>
      <c r="BC18" s="397"/>
      <c r="BD18" s="397"/>
      <c r="BE18" s="397"/>
      <c r="BF18" s="397"/>
      <c r="BG18" s="397"/>
      <c r="BH18" s="397"/>
      <c r="BI18" s="397"/>
      <c r="BJ18" s="397"/>
      <c r="BK18" s="397"/>
      <c r="BL18" s="397"/>
      <c r="BM18" s="397"/>
      <c r="BN18" s="397"/>
      <c r="BO18" s="397"/>
      <c r="BP18" s="397"/>
      <c r="BQ18" s="397"/>
      <c r="BR18" s="397"/>
      <c r="BS18" s="397"/>
      <c r="BT18" s="397"/>
      <c r="BU18" s="397"/>
      <c r="BV18" s="397"/>
      <c r="BW18" s="397"/>
      <c r="BX18" s="397"/>
      <c r="BY18" s="397"/>
      <c r="BZ18" s="397"/>
      <c r="CA18" s="397"/>
      <c r="CB18" s="397"/>
      <c r="CC18" s="397"/>
      <c r="CD18" s="397"/>
      <c r="CE18" s="397"/>
      <c r="CF18" s="397"/>
      <c r="CG18" s="397"/>
      <c r="CH18" s="397"/>
      <c r="CI18" s="397"/>
      <c r="CJ18" s="397"/>
      <c r="CK18" s="397"/>
      <c r="CL18" s="397"/>
      <c r="CM18" s="397"/>
      <c r="CN18" s="397"/>
      <c r="CO18" s="397"/>
      <c r="CP18" s="397"/>
      <c r="CQ18" s="397"/>
      <c r="CR18" s="397"/>
      <c r="CS18" s="397"/>
      <c r="CT18" s="397"/>
      <c r="CU18" s="397"/>
      <c r="CV18" s="397"/>
      <c r="CW18" s="397"/>
      <c r="CX18" s="397"/>
      <c r="CY18" s="397"/>
      <c r="CZ18" s="397"/>
      <c r="DA18" s="397"/>
      <c r="DB18" s="397"/>
      <c r="DC18" s="397"/>
      <c r="DD18" s="397"/>
      <c r="DE18" s="397"/>
      <c r="DF18" s="397"/>
      <c r="DG18" s="397"/>
      <c r="DH18" s="397"/>
      <c r="DI18" s="397"/>
      <c r="DJ18" s="397"/>
      <c r="DK18" s="397"/>
      <c r="DL18" s="397"/>
      <c r="DM18" s="397"/>
      <c r="DN18" s="397"/>
      <c r="DO18" s="397"/>
      <c r="DP18" s="397"/>
      <c r="DQ18" s="397"/>
      <c r="DR18" s="397"/>
      <c r="DS18" s="397"/>
      <c r="DT18" s="397"/>
      <c r="DU18" s="397"/>
      <c r="DV18" s="397"/>
      <c r="DW18" s="397"/>
      <c r="DX18" s="397"/>
      <c r="DY18" s="397"/>
      <c r="DZ18" s="397"/>
      <c r="EA18" s="397"/>
      <c r="EB18" s="397"/>
      <c r="EC18" s="397"/>
      <c r="ED18" s="397"/>
      <c r="EE18" s="397"/>
      <c r="EF18" s="397"/>
      <c r="EG18" s="397"/>
    </row>
    <row r="19" spans="1:137">
      <c r="A19" s="554" t="str">
        <f t="shared" si="6"/>
        <v>2 Bedroom</v>
      </c>
      <c r="B19" s="402" t="str">
        <f t="shared" si="6"/>
        <v>2 Bed / 1 Bath</v>
      </c>
      <c r="C19" s="1029"/>
      <c r="D19" s="401" t="s">
        <v>1602</v>
      </c>
      <c r="F19" s="347">
        <f t="shared" si="4"/>
        <v>8</v>
      </c>
      <c r="G19" s="1543" t="s">
        <v>1908</v>
      </c>
      <c r="H19" s="1544" t="s">
        <v>1900</v>
      </c>
      <c r="I19" s="1545">
        <v>750</v>
      </c>
      <c r="J19" s="1546">
        <v>2050</v>
      </c>
      <c r="K19" s="386">
        <f t="shared" si="0"/>
        <v>2050</v>
      </c>
      <c r="L19" s="1546">
        <v>2650</v>
      </c>
      <c r="M19" s="394"/>
      <c r="N19" s="515" t="str">
        <f t="shared" si="1"/>
        <v>2A</v>
      </c>
      <c r="O19" s="554" t="str">
        <f t="shared" si="2"/>
        <v>2 Bed / 1 Bath</v>
      </c>
      <c r="P19" s="444" t="str">
        <f t="shared" si="5"/>
        <v>2 Bedroom</v>
      </c>
      <c r="Q19" s="444" t="str">
        <f t="array" ref="Q19">IF(ISREF((INDEX($C$12:$C$36,SMALL(IF($C$12:$C$36&lt;&gt;"",ROW($C$12:$C$36)),ROW(B8))-11))),(INDEX($C$12:$C$36,SMALL(IF($C$12:$C$36&lt;&gt;"",ROW($C$12:$C$36)),ROW(B8))-11)),"-")</f>
        <v>-</v>
      </c>
      <c r="R19" s="444"/>
      <c r="S19" s="397"/>
      <c r="T19" s="397"/>
      <c r="U19" s="397"/>
      <c r="V19" s="397"/>
      <c r="W19" s="397"/>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397"/>
      <c r="BA19" s="397"/>
      <c r="BB19" s="397"/>
      <c r="BC19" s="397"/>
      <c r="BD19" s="397"/>
      <c r="BE19" s="397"/>
      <c r="BF19" s="397"/>
      <c r="BG19" s="397"/>
      <c r="BH19" s="397"/>
      <c r="BI19" s="397"/>
      <c r="BJ19" s="397"/>
      <c r="BK19" s="397"/>
      <c r="BL19" s="397"/>
      <c r="BM19" s="397"/>
      <c r="BN19" s="397"/>
      <c r="BO19" s="397"/>
      <c r="BP19" s="397"/>
      <c r="BQ19" s="397"/>
      <c r="BR19" s="397"/>
      <c r="BS19" s="397"/>
      <c r="BT19" s="397"/>
      <c r="BU19" s="397"/>
      <c r="BV19" s="397"/>
      <c r="BW19" s="397"/>
      <c r="BX19" s="397"/>
      <c r="BY19" s="397"/>
      <c r="BZ19" s="397"/>
      <c r="CA19" s="397"/>
      <c r="CB19" s="397"/>
      <c r="CC19" s="397"/>
      <c r="CD19" s="397"/>
      <c r="CE19" s="397"/>
      <c r="CF19" s="397"/>
      <c r="CG19" s="397"/>
      <c r="CH19" s="397"/>
      <c r="CI19" s="397"/>
      <c r="CJ19" s="397"/>
      <c r="CK19" s="397"/>
      <c r="CL19" s="397"/>
      <c r="CM19" s="397"/>
      <c r="CN19" s="397"/>
      <c r="CO19" s="397"/>
      <c r="CP19" s="397"/>
      <c r="CQ19" s="397"/>
      <c r="CR19" s="397"/>
      <c r="CS19" s="397"/>
      <c r="CT19" s="397"/>
      <c r="CU19" s="397"/>
      <c r="CV19" s="397"/>
      <c r="CW19" s="397"/>
      <c r="CX19" s="397"/>
      <c r="CY19" s="397"/>
      <c r="CZ19" s="397"/>
      <c r="DA19" s="397"/>
      <c r="DB19" s="397"/>
      <c r="DC19" s="397"/>
      <c r="DD19" s="397"/>
      <c r="DE19" s="397"/>
      <c r="DF19" s="397"/>
      <c r="DG19" s="397"/>
      <c r="DH19" s="397"/>
      <c r="DI19" s="397"/>
      <c r="DJ19" s="397"/>
      <c r="DK19" s="397"/>
      <c r="DL19" s="397"/>
      <c r="DM19" s="397"/>
      <c r="DN19" s="397"/>
      <c r="DO19" s="397"/>
      <c r="DP19" s="397"/>
      <c r="DQ19" s="397"/>
      <c r="DR19" s="397"/>
      <c r="DS19" s="397"/>
      <c r="DT19" s="397"/>
      <c r="DU19" s="397"/>
      <c r="DV19" s="397"/>
      <c r="DW19" s="397"/>
      <c r="DX19" s="397"/>
      <c r="DY19" s="397"/>
      <c r="DZ19" s="397"/>
      <c r="EA19" s="397"/>
      <c r="EB19" s="397"/>
      <c r="EC19" s="397"/>
      <c r="ED19" s="397"/>
      <c r="EE19" s="397"/>
      <c r="EF19" s="397"/>
      <c r="EG19" s="397"/>
    </row>
    <row r="20" spans="1:137">
      <c r="A20" s="554" t="str">
        <f t="shared" si="6"/>
        <v>2 Bedroom</v>
      </c>
      <c r="B20" s="402" t="str">
        <f t="shared" si="6"/>
        <v>2 Bed / 1 Bath</v>
      </c>
      <c r="C20" s="1029"/>
      <c r="D20" s="401" t="s">
        <v>1603</v>
      </c>
      <c r="F20" s="347">
        <f t="shared" si="4"/>
        <v>9</v>
      </c>
      <c r="G20" s="1547" t="s">
        <v>1909</v>
      </c>
      <c r="H20" s="1544" t="s">
        <v>914</v>
      </c>
      <c r="I20" s="1548">
        <v>650</v>
      </c>
      <c r="J20" s="1549">
        <v>1950</v>
      </c>
      <c r="K20" s="357">
        <f t="shared" si="0"/>
        <v>1950</v>
      </c>
      <c r="L20" s="1546">
        <v>2295</v>
      </c>
      <c r="M20" s="394"/>
      <c r="N20" s="515" t="str">
        <f t="shared" si="1"/>
        <v>1A</v>
      </c>
      <c r="O20" s="554" t="str">
        <f t="shared" si="2"/>
        <v>1 Bed / 1 Bath</v>
      </c>
      <c r="P20" s="444" t="str">
        <f t="shared" si="5"/>
        <v>1 Bedroom</v>
      </c>
      <c r="Q20" s="444" t="str">
        <f t="array" ref="Q20">IF(ISREF((INDEX($C$12:$C$36,SMALL(IF($C$12:$C$36&lt;&gt;"",ROW($C$12:$C$36)),ROW(B9))-11))),(INDEX($C$12:$C$36,SMALL(IF($C$12:$C$36&lt;&gt;"",ROW($C$12:$C$36)),ROW(B9))-11)),"-")</f>
        <v>-</v>
      </c>
      <c r="R20" s="444"/>
      <c r="S20" s="397"/>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397"/>
      <c r="BA20" s="397"/>
      <c r="BB20" s="397"/>
      <c r="BC20" s="397"/>
      <c r="BD20" s="397"/>
      <c r="BE20" s="397"/>
      <c r="BF20" s="397"/>
      <c r="BG20" s="397"/>
      <c r="BH20" s="397"/>
      <c r="BI20" s="397"/>
      <c r="BJ20" s="397"/>
      <c r="BK20" s="397"/>
      <c r="BL20" s="397"/>
      <c r="BM20" s="397"/>
      <c r="BN20" s="397"/>
      <c r="BO20" s="397"/>
      <c r="BP20" s="397"/>
      <c r="BQ20" s="397"/>
      <c r="BR20" s="397"/>
      <c r="BS20" s="397"/>
      <c r="BT20" s="397"/>
      <c r="BU20" s="397"/>
      <c r="BV20" s="397"/>
      <c r="BW20" s="397"/>
      <c r="BX20" s="397"/>
      <c r="BY20" s="397"/>
      <c r="BZ20" s="397"/>
      <c r="CA20" s="397"/>
      <c r="CB20" s="397"/>
      <c r="CC20" s="397"/>
      <c r="CD20" s="397"/>
      <c r="CE20" s="397"/>
      <c r="CF20" s="397"/>
      <c r="CG20" s="397"/>
      <c r="CH20" s="397"/>
      <c r="CI20" s="397"/>
      <c r="CJ20" s="397"/>
      <c r="CK20" s="397"/>
      <c r="CL20" s="397"/>
      <c r="CM20" s="397"/>
      <c r="CN20" s="397"/>
      <c r="CO20" s="397"/>
      <c r="CP20" s="397"/>
      <c r="CQ20" s="397"/>
      <c r="CR20" s="397"/>
      <c r="CS20" s="397"/>
      <c r="CT20" s="397"/>
      <c r="CU20" s="397"/>
      <c r="CV20" s="397"/>
      <c r="CW20" s="397"/>
      <c r="CX20" s="397"/>
      <c r="CY20" s="397"/>
      <c r="CZ20" s="397"/>
      <c r="DA20" s="397"/>
      <c r="DB20" s="397"/>
      <c r="DC20" s="397"/>
      <c r="DD20" s="397"/>
      <c r="DE20" s="397"/>
      <c r="DF20" s="397"/>
      <c r="DG20" s="397"/>
      <c r="DH20" s="397"/>
      <c r="DI20" s="397"/>
      <c r="DJ20" s="397"/>
      <c r="DK20" s="397"/>
      <c r="DL20" s="397"/>
      <c r="DM20" s="397"/>
      <c r="DN20" s="397"/>
      <c r="DO20" s="397"/>
      <c r="DP20" s="397"/>
      <c r="DQ20" s="397"/>
      <c r="DR20" s="397"/>
      <c r="DS20" s="397"/>
      <c r="DT20" s="397"/>
      <c r="DU20" s="397"/>
      <c r="DV20" s="397"/>
      <c r="DW20" s="397"/>
      <c r="DX20" s="397"/>
      <c r="DY20" s="397"/>
      <c r="DZ20" s="397"/>
      <c r="EA20" s="397"/>
      <c r="EB20" s="397"/>
      <c r="EC20" s="397"/>
      <c r="ED20" s="397"/>
      <c r="EE20" s="397"/>
      <c r="EF20" s="397"/>
      <c r="EG20" s="397"/>
    </row>
    <row r="21" spans="1:137">
      <c r="A21" s="554" t="str">
        <f t="shared" si="6"/>
        <v>2 Bedroom</v>
      </c>
      <c r="B21" s="402" t="str">
        <f t="shared" si="6"/>
        <v>2 Bed / 1 Bath</v>
      </c>
      <c r="C21" s="1029"/>
      <c r="D21" s="401" t="s">
        <v>1604</v>
      </c>
      <c r="F21" s="347">
        <f t="shared" si="4"/>
        <v>10</v>
      </c>
      <c r="G21" s="1547" t="s">
        <v>1910</v>
      </c>
      <c r="H21" s="1544" t="s">
        <v>1900</v>
      </c>
      <c r="I21" s="1548">
        <v>750</v>
      </c>
      <c r="J21" s="1549">
        <v>2040</v>
      </c>
      <c r="K21" s="357">
        <f t="shared" si="0"/>
        <v>2040</v>
      </c>
      <c r="L21" s="1546">
        <v>2650</v>
      </c>
      <c r="M21" s="394"/>
      <c r="N21" s="515" t="str">
        <f t="shared" si="1"/>
        <v>2A</v>
      </c>
      <c r="O21" s="554" t="str">
        <f t="shared" si="2"/>
        <v>2 Bed / 1 Bath</v>
      </c>
      <c r="P21" s="444" t="str">
        <f t="shared" si="5"/>
        <v>2 Bedroom</v>
      </c>
      <c r="Q21" s="444" t="str">
        <f t="array" ref="Q21">IF(ISREF((INDEX($C$12:$C$36,SMALL(IF($C$12:$C$36&lt;&gt;"",ROW($C$12:$C$36)),ROW(B10))-11))),(INDEX($C$12:$C$36,SMALL(IF($C$12:$C$36&lt;&gt;"",ROW($C$12:$C$36)),ROW(B10))-11)),"-")</f>
        <v>-</v>
      </c>
      <c r="R21" s="444"/>
      <c r="S21" s="397"/>
      <c r="T21" s="397"/>
      <c r="U21" s="397"/>
      <c r="V21" s="397"/>
      <c r="W21" s="397"/>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397"/>
      <c r="BA21" s="397"/>
      <c r="BB21" s="397"/>
      <c r="BC21" s="397"/>
      <c r="BD21" s="397"/>
      <c r="BE21" s="397"/>
      <c r="BF21" s="397"/>
      <c r="BG21" s="397"/>
      <c r="BH21" s="397"/>
      <c r="BI21" s="397"/>
      <c r="BJ21" s="397"/>
      <c r="BK21" s="397"/>
      <c r="BL21" s="397"/>
      <c r="BM21" s="397"/>
      <c r="BN21" s="397"/>
      <c r="BO21" s="397"/>
      <c r="BP21" s="397"/>
      <c r="BQ21" s="397"/>
      <c r="BR21" s="397"/>
      <c r="BS21" s="397"/>
      <c r="BT21" s="397"/>
      <c r="BU21" s="397"/>
      <c r="BV21" s="397"/>
      <c r="BW21" s="397"/>
      <c r="BX21" s="397"/>
      <c r="BY21" s="397"/>
      <c r="BZ21" s="397"/>
      <c r="CA21" s="397"/>
      <c r="CB21" s="397"/>
      <c r="CC21" s="397"/>
      <c r="CD21" s="397"/>
      <c r="CE21" s="397"/>
      <c r="CF21" s="397"/>
      <c r="CG21" s="397"/>
      <c r="CH21" s="397"/>
      <c r="CI21" s="397"/>
      <c r="CJ21" s="397"/>
      <c r="CK21" s="397"/>
      <c r="CL21" s="397"/>
      <c r="CM21" s="397"/>
      <c r="CN21" s="397"/>
      <c r="CO21" s="397"/>
      <c r="CP21" s="397"/>
      <c r="CQ21" s="397"/>
      <c r="CR21" s="397"/>
      <c r="CS21" s="397"/>
      <c r="CT21" s="397"/>
      <c r="CU21" s="397"/>
      <c r="CV21" s="397"/>
      <c r="CW21" s="397"/>
      <c r="CX21" s="397"/>
      <c r="CY21" s="397"/>
      <c r="CZ21" s="397"/>
      <c r="DA21" s="397"/>
      <c r="DB21" s="397"/>
      <c r="DC21" s="397"/>
      <c r="DD21" s="397"/>
      <c r="DE21" s="397"/>
      <c r="DF21" s="397"/>
      <c r="DG21" s="397"/>
      <c r="DH21" s="397"/>
      <c r="DI21" s="397"/>
      <c r="DJ21" s="397"/>
      <c r="DK21" s="397"/>
      <c r="DL21" s="397"/>
      <c r="DM21" s="397"/>
      <c r="DN21" s="397"/>
      <c r="DO21" s="397"/>
      <c r="DP21" s="397"/>
      <c r="DQ21" s="397"/>
      <c r="DR21" s="397"/>
      <c r="DS21" s="397"/>
      <c r="DT21" s="397"/>
      <c r="DU21" s="397"/>
      <c r="DV21" s="397"/>
      <c r="DW21" s="397"/>
      <c r="DX21" s="397"/>
      <c r="DY21" s="397"/>
      <c r="DZ21" s="397"/>
      <c r="EA21" s="397"/>
      <c r="EB21" s="397"/>
      <c r="EC21" s="397"/>
      <c r="ED21" s="397"/>
      <c r="EE21" s="397"/>
      <c r="EF21" s="397"/>
      <c r="EG21" s="397"/>
    </row>
    <row r="22" spans="1:137">
      <c r="A22" s="554" t="str">
        <f>IFERROR(VALUE(LEFT(B22,1))&amp;" Bedroom",IFERROR(VLOOKUP(LEFT(B22,3),DDL_UnitLookup,2,FALSE),"Unknown"))</f>
        <v>4 Bedroom</v>
      </c>
      <c r="B22" s="1033" t="s">
        <v>1931</v>
      </c>
      <c r="C22" s="1029" t="s">
        <v>1931</v>
      </c>
      <c r="D22" s="401" t="s">
        <v>1000</v>
      </c>
      <c r="F22" s="347">
        <f t="shared" si="4"/>
        <v>11</v>
      </c>
      <c r="G22" s="1547" t="s">
        <v>1911</v>
      </c>
      <c r="H22" s="1544" t="s">
        <v>1900</v>
      </c>
      <c r="I22" s="1548">
        <v>750</v>
      </c>
      <c r="J22" s="1549">
        <v>2395</v>
      </c>
      <c r="K22" s="357">
        <f t="shared" si="0"/>
        <v>2395</v>
      </c>
      <c r="L22" s="1546">
        <v>2650</v>
      </c>
      <c r="M22" s="394"/>
      <c r="N22" s="515" t="str">
        <f t="shared" si="1"/>
        <v>2A</v>
      </c>
      <c r="O22" s="554" t="str">
        <f t="shared" si="2"/>
        <v>2 Bed / 1 Bath</v>
      </c>
      <c r="P22" s="444" t="str">
        <f t="shared" si="5"/>
        <v>2 Bedroom</v>
      </c>
      <c r="Q22" s="444" t="str">
        <f t="array" ref="Q22">IF(ISREF((INDEX($C$12:$C$36,SMALL(IF($C$12:$C$36&lt;&gt;"",ROW($C$12:$C$36)),ROW(B11))-11))),(INDEX($C$12:$C$36,SMALL(IF($C$12:$C$36&lt;&gt;"",ROW($C$12:$C$36)),ROW(B11))-11)),"-")</f>
        <v>-</v>
      </c>
      <c r="R22" s="444"/>
      <c r="S22" s="397"/>
      <c r="T22" s="397"/>
      <c r="U22" s="397"/>
      <c r="V22" s="397"/>
      <c r="W22" s="397"/>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397"/>
      <c r="BA22" s="397"/>
      <c r="BB22" s="397"/>
      <c r="BC22" s="397"/>
      <c r="BD22" s="397"/>
      <c r="BE22" s="397"/>
      <c r="BF22" s="397"/>
      <c r="BG22" s="397"/>
      <c r="BH22" s="397"/>
      <c r="BI22" s="397"/>
      <c r="BJ22" s="397"/>
      <c r="BK22" s="397"/>
      <c r="BL22" s="397"/>
      <c r="BM22" s="397"/>
      <c r="BN22" s="397"/>
      <c r="BO22" s="397"/>
      <c r="BP22" s="397"/>
      <c r="BQ22" s="397"/>
      <c r="BR22" s="397"/>
      <c r="BS22" s="397"/>
      <c r="BT22" s="397"/>
      <c r="BU22" s="397"/>
      <c r="BV22" s="397"/>
      <c r="BW22" s="397"/>
      <c r="BX22" s="397"/>
      <c r="BY22" s="397"/>
      <c r="BZ22" s="397"/>
      <c r="CA22" s="397"/>
      <c r="CB22" s="397"/>
      <c r="CC22" s="397"/>
      <c r="CD22" s="397"/>
      <c r="CE22" s="397"/>
      <c r="CF22" s="397"/>
      <c r="CG22" s="397"/>
      <c r="CH22" s="397"/>
      <c r="CI22" s="397"/>
      <c r="CJ22" s="397"/>
      <c r="CK22" s="397"/>
      <c r="CL22" s="397"/>
      <c r="CM22" s="397"/>
      <c r="CN22" s="397"/>
      <c r="CO22" s="397"/>
      <c r="CP22" s="397"/>
      <c r="CQ22" s="397"/>
      <c r="CR22" s="397"/>
      <c r="CS22" s="397"/>
      <c r="CT22" s="397"/>
      <c r="CU22" s="397"/>
      <c r="CV22" s="397"/>
      <c r="CW22" s="397"/>
      <c r="CX22" s="397"/>
      <c r="CY22" s="397"/>
      <c r="CZ22" s="397"/>
      <c r="DA22" s="397"/>
      <c r="DB22" s="397"/>
      <c r="DC22" s="397"/>
      <c r="DD22" s="397"/>
      <c r="DE22" s="397"/>
      <c r="DF22" s="397"/>
      <c r="DG22" s="397"/>
      <c r="DH22" s="397"/>
      <c r="DI22" s="397"/>
      <c r="DJ22" s="397"/>
      <c r="DK22" s="397"/>
      <c r="DL22" s="397"/>
      <c r="DM22" s="397"/>
      <c r="DN22" s="397"/>
      <c r="DO22" s="397"/>
      <c r="DP22" s="397"/>
      <c r="DQ22" s="397"/>
      <c r="DR22" s="397"/>
      <c r="DS22" s="397"/>
      <c r="DT22" s="397"/>
      <c r="DU22" s="397"/>
      <c r="DV22" s="397"/>
      <c r="DW22" s="397"/>
      <c r="DX22" s="397"/>
      <c r="DY22" s="397"/>
      <c r="DZ22" s="397"/>
      <c r="EA22" s="397"/>
      <c r="EB22" s="397"/>
      <c r="EC22" s="397"/>
      <c r="ED22" s="397"/>
      <c r="EE22" s="397"/>
      <c r="EF22" s="397"/>
      <c r="EG22" s="397"/>
    </row>
    <row r="23" spans="1:137">
      <c r="A23" s="554" t="str">
        <f t="shared" ref="A23:B26" si="7">A22</f>
        <v>4 Bedroom</v>
      </c>
      <c r="B23" s="402" t="str">
        <f t="shared" si="7"/>
        <v>4 Bed / 3 Bath House</v>
      </c>
      <c r="C23" s="1028"/>
      <c r="D23" s="401" t="s">
        <v>1001</v>
      </c>
      <c r="F23" s="347">
        <f t="shared" si="4"/>
        <v>12</v>
      </c>
      <c r="G23" s="1547" t="s">
        <v>1912</v>
      </c>
      <c r="H23" s="1544" t="s">
        <v>1900</v>
      </c>
      <c r="I23" s="1548">
        <v>750</v>
      </c>
      <c r="J23" s="1549">
        <v>2475</v>
      </c>
      <c r="K23" s="357">
        <f t="shared" si="0"/>
        <v>2475</v>
      </c>
      <c r="L23" s="1546">
        <v>2650</v>
      </c>
      <c r="M23" s="394"/>
      <c r="N23" s="515" t="str">
        <f t="shared" si="1"/>
        <v>2A</v>
      </c>
      <c r="O23" s="554" t="str">
        <f t="shared" si="2"/>
        <v>2 Bed / 1 Bath</v>
      </c>
      <c r="P23" s="444" t="str">
        <f t="shared" si="5"/>
        <v>2 Bedroom</v>
      </c>
      <c r="Q23" s="444" t="str">
        <f t="array" ref="Q23">IF(ISREF((INDEX($C$12:$C$36,SMALL(IF($C$12:$C$36&lt;&gt;"",ROW($C$12:$C$36)),ROW(B12))-11))),(INDEX($C$12:$C$36,SMALL(IF($C$12:$C$36&lt;&gt;"",ROW($C$12:$C$36)),ROW(B12))-11)),"-")</f>
        <v>-</v>
      </c>
      <c r="R23" s="444"/>
      <c r="S23" s="397"/>
      <c r="T23" s="397"/>
      <c r="U23" s="397"/>
      <c r="V23" s="397"/>
      <c r="W23" s="397"/>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397"/>
      <c r="BA23" s="397"/>
      <c r="BB23" s="397"/>
      <c r="BC23" s="397"/>
      <c r="BD23" s="397"/>
      <c r="BE23" s="397"/>
      <c r="BF23" s="397"/>
      <c r="BG23" s="397"/>
      <c r="BH23" s="397"/>
      <c r="BI23" s="397"/>
      <c r="BJ23" s="397"/>
      <c r="BK23" s="397"/>
      <c r="BL23" s="397"/>
      <c r="BM23" s="397"/>
      <c r="BN23" s="397"/>
      <c r="BO23" s="397"/>
      <c r="BP23" s="397"/>
      <c r="BQ23" s="397"/>
      <c r="BR23" s="397"/>
      <c r="BS23" s="397"/>
      <c r="BT23" s="397"/>
      <c r="BU23" s="397"/>
      <c r="BV23" s="397"/>
      <c r="BW23" s="397"/>
      <c r="BX23" s="397"/>
      <c r="BY23" s="397"/>
      <c r="BZ23" s="397"/>
      <c r="CA23" s="397"/>
      <c r="CB23" s="397"/>
      <c r="CC23" s="397"/>
      <c r="CD23" s="397"/>
      <c r="CE23" s="397"/>
      <c r="CF23" s="397"/>
      <c r="CG23" s="397"/>
      <c r="CH23" s="397"/>
      <c r="CI23" s="397"/>
      <c r="CJ23" s="397"/>
      <c r="CK23" s="397"/>
      <c r="CL23" s="397"/>
      <c r="CM23" s="397"/>
      <c r="CN23" s="397"/>
      <c r="CO23" s="397"/>
      <c r="CP23" s="397"/>
      <c r="CQ23" s="397"/>
      <c r="CR23" s="397"/>
      <c r="CS23" s="397"/>
      <c r="CT23" s="397"/>
      <c r="CU23" s="397"/>
      <c r="CV23" s="397"/>
      <c r="CW23" s="397"/>
      <c r="CX23" s="397"/>
      <c r="CY23" s="397"/>
      <c r="CZ23" s="397"/>
      <c r="DA23" s="397"/>
      <c r="DB23" s="397"/>
      <c r="DC23" s="397"/>
      <c r="DD23" s="397"/>
      <c r="DE23" s="397"/>
      <c r="DF23" s="397"/>
      <c r="DG23" s="397"/>
      <c r="DH23" s="397"/>
      <c r="DI23" s="397"/>
      <c r="DJ23" s="397"/>
      <c r="DK23" s="397"/>
      <c r="DL23" s="397"/>
      <c r="DM23" s="397"/>
      <c r="DN23" s="397"/>
      <c r="DO23" s="397"/>
      <c r="DP23" s="397"/>
      <c r="DQ23" s="397"/>
      <c r="DR23" s="397"/>
      <c r="DS23" s="397"/>
      <c r="DT23" s="397"/>
      <c r="DU23" s="397"/>
      <c r="DV23" s="397"/>
      <c r="DW23" s="397"/>
      <c r="DX23" s="397"/>
      <c r="DY23" s="397"/>
      <c r="DZ23" s="397"/>
      <c r="EA23" s="397"/>
      <c r="EB23" s="397"/>
      <c r="EC23" s="397"/>
      <c r="ED23" s="397"/>
      <c r="EE23" s="397"/>
      <c r="EF23" s="397"/>
      <c r="EG23" s="397"/>
    </row>
    <row r="24" spans="1:137">
      <c r="A24" s="554" t="str">
        <f t="shared" si="7"/>
        <v>4 Bedroom</v>
      </c>
      <c r="B24" s="402" t="str">
        <f t="shared" si="7"/>
        <v>4 Bed / 3 Bath House</v>
      </c>
      <c r="C24" s="1029"/>
      <c r="D24" s="401" t="s">
        <v>1605</v>
      </c>
      <c r="F24" s="347">
        <f t="shared" si="4"/>
        <v>13</v>
      </c>
      <c r="G24" s="1547" t="s">
        <v>1913</v>
      </c>
      <c r="H24" s="1544" t="s">
        <v>1900</v>
      </c>
      <c r="I24" s="1548">
        <v>750</v>
      </c>
      <c r="J24" s="1549">
        <v>2195</v>
      </c>
      <c r="K24" s="357">
        <f t="shared" si="0"/>
        <v>2195</v>
      </c>
      <c r="L24" s="1546">
        <v>2650</v>
      </c>
      <c r="M24" s="394"/>
      <c r="N24" s="515" t="str">
        <f t="shared" si="1"/>
        <v>2A</v>
      </c>
      <c r="O24" s="554" t="str">
        <f t="shared" si="2"/>
        <v>2 Bed / 1 Bath</v>
      </c>
      <c r="P24" s="444" t="str">
        <f t="shared" si="5"/>
        <v>2 Bedroom</v>
      </c>
      <c r="Q24" s="444" t="str">
        <f t="array" ref="Q24">IF(ISREF((INDEX($C$12:$C$36,SMALL(IF($C$12:$C$36&lt;&gt;"",ROW($C$12:$C$36)),ROW(B13))-11))),(INDEX($C$12:$C$36,SMALL(IF($C$12:$C$36&lt;&gt;"",ROW($C$12:$C$36)),ROW(B13))-11)),"-")</f>
        <v>-</v>
      </c>
      <c r="R24" s="444"/>
      <c r="S24" s="397"/>
      <c r="T24" s="397"/>
      <c r="U24" s="397"/>
      <c r="V24" s="397"/>
      <c r="W24" s="397"/>
      <c r="X24" s="397"/>
      <c r="Y24" s="397"/>
      <c r="Z24" s="397"/>
      <c r="AA24" s="397"/>
      <c r="AB24" s="397"/>
      <c r="AC24" s="397"/>
      <c r="AD24" s="397"/>
      <c r="AE24" s="397"/>
      <c r="AF24" s="397"/>
      <c r="AG24" s="397"/>
      <c r="AH24" s="397"/>
      <c r="AI24" s="397"/>
      <c r="AJ24" s="397"/>
      <c r="AK24" s="397"/>
      <c r="AL24" s="397"/>
      <c r="AM24" s="397"/>
      <c r="AN24" s="397"/>
      <c r="AO24" s="397"/>
      <c r="AP24" s="397"/>
      <c r="AQ24" s="397"/>
      <c r="AR24" s="397"/>
      <c r="AS24" s="397"/>
      <c r="AT24" s="397"/>
      <c r="AU24" s="397"/>
      <c r="AV24" s="397"/>
      <c r="AW24" s="397"/>
      <c r="AX24" s="397"/>
      <c r="AY24" s="397"/>
      <c r="AZ24" s="397"/>
      <c r="BA24" s="397"/>
      <c r="BB24" s="397"/>
      <c r="BC24" s="397"/>
      <c r="BD24" s="397"/>
      <c r="BE24" s="397"/>
      <c r="BF24" s="397"/>
      <c r="BG24" s="397"/>
      <c r="BH24" s="397"/>
      <c r="BI24" s="397"/>
      <c r="BJ24" s="397"/>
      <c r="BK24" s="397"/>
      <c r="BL24" s="397"/>
      <c r="BM24" s="397"/>
      <c r="BN24" s="397"/>
      <c r="BO24" s="397"/>
      <c r="BP24" s="397"/>
      <c r="BQ24" s="397"/>
      <c r="BR24" s="397"/>
      <c r="BS24" s="397"/>
      <c r="BT24" s="397"/>
      <c r="BU24" s="397"/>
      <c r="BV24" s="397"/>
      <c r="BW24" s="397"/>
      <c r="BX24" s="397"/>
      <c r="BY24" s="397"/>
      <c r="BZ24" s="397"/>
      <c r="CA24" s="397"/>
      <c r="CB24" s="397"/>
      <c r="CC24" s="397"/>
      <c r="CD24" s="397"/>
      <c r="CE24" s="397"/>
      <c r="CF24" s="397"/>
      <c r="CG24" s="397"/>
      <c r="CH24" s="397"/>
      <c r="CI24" s="397"/>
      <c r="CJ24" s="397"/>
      <c r="CK24" s="397"/>
      <c r="CL24" s="397"/>
      <c r="CM24" s="397"/>
      <c r="CN24" s="397"/>
      <c r="CO24" s="397"/>
      <c r="CP24" s="397"/>
      <c r="CQ24" s="397"/>
      <c r="CR24" s="397"/>
      <c r="CS24" s="397"/>
      <c r="CT24" s="397"/>
      <c r="CU24" s="397"/>
      <c r="CV24" s="397"/>
      <c r="CW24" s="397"/>
      <c r="CX24" s="397"/>
      <c r="CY24" s="397"/>
      <c r="CZ24" s="397"/>
      <c r="DA24" s="397"/>
      <c r="DB24" s="397"/>
      <c r="DC24" s="397"/>
      <c r="DD24" s="397"/>
      <c r="DE24" s="397"/>
      <c r="DF24" s="397"/>
      <c r="DG24" s="397"/>
      <c r="DH24" s="397"/>
      <c r="DI24" s="397"/>
      <c r="DJ24" s="397"/>
      <c r="DK24" s="397"/>
      <c r="DL24" s="397"/>
      <c r="DM24" s="397"/>
      <c r="DN24" s="397"/>
      <c r="DO24" s="397"/>
      <c r="DP24" s="397"/>
      <c r="DQ24" s="397"/>
      <c r="DR24" s="397"/>
      <c r="DS24" s="397"/>
      <c r="DT24" s="397"/>
      <c r="DU24" s="397"/>
      <c r="DV24" s="397"/>
      <c r="DW24" s="397"/>
      <c r="DX24" s="397"/>
      <c r="DY24" s="397"/>
      <c r="DZ24" s="397"/>
      <c r="EA24" s="397"/>
      <c r="EB24" s="397"/>
      <c r="EC24" s="397"/>
      <c r="ED24" s="397"/>
      <c r="EE24" s="397"/>
      <c r="EF24" s="397"/>
      <c r="EG24" s="397"/>
    </row>
    <row r="25" spans="1:137">
      <c r="A25" s="554" t="str">
        <f t="shared" si="7"/>
        <v>4 Bedroom</v>
      </c>
      <c r="B25" s="402" t="str">
        <f t="shared" si="7"/>
        <v>4 Bed / 3 Bath House</v>
      </c>
      <c r="C25" s="1029"/>
      <c r="D25" s="401" t="s">
        <v>1606</v>
      </c>
      <c r="F25" s="347">
        <f t="shared" si="4"/>
        <v>14</v>
      </c>
      <c r="G25" s="1547" t="s">
        <v>1914</v>
      </c>
      <c r="H25" s="1544" t="s">
        <v>1900</v>
      </c>
      <c r="I25" s="1548">
        <v>750</v>
      </c>
      <c r="J25" s="1549">
        <v>2150</v>
      </c>
      <c r="K25" s="357">
        <f t="shared" si="0"/>
        <v>2150</v>
      </c>
      <c r="L25" s="1546">
        <v>2650</v>
      </c>
      <c r="M25" s="394"/>
      <c r="N25" s="515" t="str">
        <f t="shared" si="1"/>
        <v>2A</v>
      </c>
      <c r="O25" s="554" t="str">
        <f t="shared" si="2"/>
        <v>2 Bed / 1 Bath</v>
      </c>
      <c r="P25" s="444" t="str">
        <f t="shared" si="5"/>
        <v>2 Bedroom</v>
      </c>
      <c r="Q25" s="444" t="str">
        <f t="array" ref="Q25">IF(ISREF((INDEX($C$12:$C$36,SMALL(IF($C$12:$C$36&lt;&gt;"",ROW($C$12:$C$36)),ROW(B14))-11))),(INDEX($C$12:$C$36,SMALL(IF($C$12:$C$36&lt;&gt;"",ROW($C$12:$C$36)),ROW(B14))-11)),"-")</f>
        <v>-</v>
      </c>
      <c r="R25" s="444"/>
      <c r="S25" s="397"/>
      <c r="T25" s="397"/>
      <c r="U25" s="397"/>
      <c r="V25" s="397"/>
      <c r="W25" s="397"/>
      <c r="X25" s="397"/>
      <c r="Y25" s="397"/>
      <c r="Z25" s="397"/>
      <c r="AA25" s="397"/>
      <c r="AB25" s="397"/>
      <c r="AC25" s="397"/>
      <c r="AD25" s="397"/>
      <c r="AE25" s="397"/>
      <c r="AF25" s="397"/>
      <c r="AG25" s="397"/>
      <c r="AH25" s="397"/>
      <c r="AI25" s="397"/>
      <c r="AJ25" s="397"/>
      <c r="AK25" s="397"/>
      <c r="AL25" s="397"/>
      <c r="AM25" s="397"/>
      <c r="AN25" s="397"/>
      <c r="AO25" s="397"/>
      <c r="AP25" s="397"/>
      <c r="AQ25" s="397"/>
      <c r="AR25" s="397"/>
      <c r="AS25" s="397"/>
      <c r="AT25" s="397"/>
      <c r="AU25" s="397"/>
      <c r="AV25" s="397"/>
      <c r="AW25" s="397"/>
      <c r="AX25" s="397"/>
      <c r="AY25" s="397"/>
      <c r="AZ25" s="397"/>
      <c r="BA25" s="397"/>
      <c r="BB25" s="397"/>
      <c r="BC25" s="397"/>
      <c r="BD25" s="397"/>
      <c r="BE25" s="397"/>
      <c r="BF25" s="397"/>
      <c r="BG25" s="397"/>
      <c r="BH25" s="397"/>
      <c r="BI25" s="397"/>
      <c r="BJ25" s="397"/>
      <c r="BK25" s="397"/>
      <c r="BL25" s="397"/>
      <c r="BM25" s="397"/>
      <c r="BN25" s="397"/>
      <c r="BO25" s="397"/>
      <c r="BP25" s="397"/>
      <c r="BQ25" s="397"/>
      <c r="BR25" s="397"/>
      <c r="BS25" s="397"/>
      <c r="BT25" s="397"/>
      <c r="BU25" s="397"/>
      <c r="BV25" s="397"/>
      <c r="BW25" s="397"/>
      <c r="BX25" s="397"/>
      <c r="BY25" s="397"/>
      <c r="BZ25" s="397"/>
      <c r="CA25" s="397"/>
      <c r="CB25" s="397"/>
      <c r="CC25" s="397"/>
      <c r="CD25" s="397"/>
      <c r="CE25" s="397"/>
      <c r="CF25" s="397"/>
      <c r="CG25" s="397"/>
      <c r="CH25" s="397"/>
      <c r="CI25" s="397"/>
      <c r="CJ25" s="397"/>
      <c r="CK25" s="397"/>
      <c r="CL25" s="397"/>
      <c r="CM25" s="397"/>
      <c r="CN25" s="397"/>
      <c r="CO25" s="397"/>
      <c r="CP25" s="397"/>
      <c r="CQ25" s="397"/>
      <c r="CR25" s="397"/>
      <c r="CS25" s="397"/>
      <c r="CT25" s="397"/>
      <c r="CU25" s="397"/>
      <c r="CV25" s="397"/>
      <c r="CW25" s="397"/>
      <c r="CX25" s="397"/>
      <c r="CY25" s="397"/>
      <c r="CZ25" s="397"/>
      <c r="DA25" s="397"/>
      <c r="DB25" s="397"/>
      <c r="DC25" s="397"/>
      <c r="DD25" s="397"/>
      <c r="DE25" s="397"/>
      <c r="DF25" s="397"/>
      <c r="DG25" s="397"/>
      <c r="DH25" s="397"/>
      <c r="DI25" s="397"/>
      <c r="DJ25" s="397"/>
      <c r="DK25" s="397"/>
      <c r="DL25" s="397"/>
      <c r="DM25" s="397"/>
      <c r="DN25" s="397"/>
      <c r="DO25" s="397"/>
      <c r="DP25" s="397"/>
      <c r="DQ25" s="397"/>
      <c r="DR25" s="397"/>
      <c r="DS25" s="397"/>
      <c r="DT25" s="397"/>
      <c r="DU25" s="397"/>
      <c r="DV25" s="397"/>
      <c r="DW25" s="397"/>
      <c r="DX25" s="397"/>
      <c r="DY25" s="397"/>
      <c r="DZ25" s="397"/>
      <c r="EA25" s="397"/>
      <c r="EB25" s="397"/>
      <c r="EC25" s="397"/>
      <c r="ED25" s="397"/>
      <c r="EE25" s="397"/>
      <c r="EF25" s="397"/>
      <c r="EG25" s="397"/>
    </row>
    <row r="26" spans="1:137">
      <c r="A26" s="554" t="str">
        <f t="shared" si="7"/>
        <v>4 Bedroom</v>
      </c>
      <c r="B26" s="402" t="str">
        <f t="shared" si="7"/>
        <v>4 Bed / 3 Bath House</v>
      </c>
      <c r="C26" s="1029"/>
      <c r="D26" s="401" t="s">
        <v>1607</v>
      </c>
      <c r="F26" s="347">
        <f t="shared" si="4"/>
        <v>15</v>
      </c>
      <c r="G26" s="1547" t="s">
        <v>1915</v>
      </c>
      <c r="H26" s="1544" t="s">
        <v>1900</v>
      </c>
      <c r="I26" s="1548">
        <v>750</v>
      </c>
      <c r="J26" s="1549">
        <v>2630</v>
      </c>
      <c r="K26" s="357">
        <f t="shared" si="0"/>
        <v>2630</v>
      </c>
      <c r="L26" s="1546">
        <v>2650</v>
      </c>
      <c r="M26" s="394"/>
      <c r="N26" s="515" t="str">
        <f t="shared" si="1"/>
        <v>2A</v>
      </c>
      <c r="O26" s="554" t="str">
        <f t="shared" si="2"/>
        <v>2 Bed / 1 Bath</v>
      </c>
      <c r="P26" s="444" t="str">
        <f t="shared" si="5"/>
        <v>2 Bedroom</v>
      </c>
      <c r="Q26" s="444" t="str">
        <f t="array" ref="Q26">IF(ISREF((INDEX($C$12:$C$36,SMALL(IF($C$12:$C$36&lt;&gt;"",ROW($C$12:$C$36)),ROW(B15))-11))),(INDEX($C$12:$C$36,SMALL(IF($C$12:$C$36&lt;&gt;"",ROW($C$12:$C$36)),ROW(B15))-11)),"-")</f>
        <v>-</v>
      </c>
      <c r="R26" s="444"/>
      <c r="S26" s="397"/>
      <c r="T26" s="397"/>
      <c r="U26" s="397"/>
      <c r="V26" s="397"/>
      <c r="W26" s="397"/>
      <c r="X26" s="397"/>
      <c r="Y26" s="397"/>
      <c r="Z26" s="397"/>
      <c r="AA26" s="397"/>
      <c r="AB26" s="397"/>
      <c r="AC26" s="397"/>
      <c r="AD26" s="397"/>
      <c r="AE26" s="397"/>
      <c r="AF26" s="397"/>
      <c r="AG26" s="397"/>
      <c r="AH26" s="397"/>
      <c r="AI26" s="397"/>
      <c r="AJ26" s="397"/>
      <c r="AK26" s="397"/>
      <c r="AL26" s="397"/>
      <c r="AM26" s="397"/>
      <c r="AN26" s="397"/>
      <c r="AO26" s="397"/>
      <c r="AP26" s="397"/>
      <c r="AQ26" s="397"/>
      <c r="AR26" s="397"/>
      <c r="AS26" s="397"/>
      <c r="AT26" s="397"/>
      <c r="AU26" s="397"/>
      <c r="AV26" s="397"/>
      <c r="AW26" s="397"/>
      <c r="AX26" s="397"/>
      <c r="AY26" s="397"/>
      <c r="AZ26" s="397"/>
      <c r="BA26" s="397"/>
      <c r="BB26" s="397"/>
      <c r="BC26" s="397"/>
      <c r="BD26" s="397"/>
      <c r="BE26" s="397"/>
      <c r="BF26" s="397"/>
      <c r="BG26" s="397"/>
      <c r="BH26" s="397"/>
      <c r="BI26" s="397"/>
      <c r="BJ26" s="397"/>
      <c r="BK26" s="397"/>
      <c r="BL26" s="397"/>
      <c r="BM26" s="397"/>
      <c r="BN26" s="397"/>
      <c r="BO26" s="397"/>
      <c r="BP26" s="397"/>
      <c r="BQ26" s="397"/>
      <c r="BR26" s="397"/>
      <c r="BS26" s="397"/>
      <c r="BT26" s="397"/>
      <c r="BU26" s="397"/>
      <c r="BV26" s="397"/>
      <c r="BW26" s="397"/>
      <c r="BX26" s="397"/>
      <c r="BY26" s="397"/>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c r="DA26" s="397"/>
      <c r="DB26" s="397"/>
      <c r="DC26" s="397"/>
      <c r="DD26" s="397"/>
      <c r="DE26" s="397"/>
      <c r="DF26" s="397"/>
      <c r="DG26" s="397"/>
      <c r="DH26" s="397"/>
      <c r="DI26" s="397"/>
      <c r="DJ26" s="397"/>
      <c r="DK26" s="397"/>
      <c r="DL26" s="397"/>
      <c r="DM26" s="397"/>
      <c r="DN26" s="397"/>
      <c r="DO26" s="397"/>
      <c r="DP26" s="397"/>
      <c r="DQ26" s="397"/>
      <c r="DR26" s="397"/>
      <c r="DS26" s="397"/>
      <c r="DT26" s="397"/>
      <c r="DU26" s="397"/>
      <c r="DV26" s="397"/>
      <c r="DW26" s="397"/>
      <c r="DX26" s="397"/>
      <c r="DY26" s="397"/>
      <c r="DZ26" s="397"/>
      <c r="EA26" s="397"/>
      <c r="EB26" s="397"/>
      <c r="EC26" s="397"/>
      <c r="ED26" s="397"/>
      <c r="EE26" s="397"/>
      <c r="EF26" s="397"/>
      <c r="EG26" s="397"/>
    </row>
    <row r="27" spans="1:137">
      <c r="A27" s="554" t="str">
        <f>IFERROR(VALUE(LEFT(B27,1))&amp;" Bedroom",IFERROR(VLOOKUP(LEFT(B27,3),DDL_UnitLookup,2,FALSE),"Unknown"))</f>
        <v>Unknown</v>
      </c>
      <c r="B27" s="1033"/>
      <c r="C27" s="1029"/>
      <c r="D27" s="401" t="s">
        <v>999</v>
      </c>
      <c r="F27" s="347">
        <f t="shared" si="4"/>
        <v>16</v>
      </c>
      <c r="G27" s="1547" t="s">
        <v>1916</v>
      </c>
      <c r="H27" s="1544" t="s">
        <v>1900</v>
      </c>
      <c r="I27" s="1548">
        <v>750</v>
      </c>
      <c r="J27" s="1549">
        <v>2100</v>
      </c>
      <c r="K27" s="357">
        <f t="shared" si="0"/>
        <v>2100</v>
      </c>
      <c r="L27" s="1546">
        <v>2650</v>
      </c>
      <c r="M27" s="394"/>
      <c r="N27" s="515" t="str">
        <f t="shared" si="1"/>
        <v>2A</v>
      </c>
      <c r="O27" s="554" t="str">
        <f t="shared" si="2"/>
        <v>2 Bed / 1 Bath</v>
      </c>
      <c r="P27" s="444" t="str">
        <f t="shared" si="5"/>
        <v>2 Bedroom</v>
      </c>
      <c r="Q27" s="444" t="str">
        <f t="array" ref="Q27">IF(ISREF((INDEX($C$12:$C$36,SMALL(IF($C$12:$C$36&lt;&gt;"",ROW($C$12:$C$36)),ROW(B16))-11))),(INDEX($C$12:$C$36,SMALL(IF($C$12:$C$36&lt;&gt;"",ROW($C$12:$C$36)),ROW(B16))-11)),"-")</f>
        <v>-</v>
      </c>
      <c r="R27" s="444"/>
      <c r="S27" s="397"/>
      <c r="T27" s="397"/>
      <c r="U27" s="397"/>
      <c r="V27" s="397"/>
      <c r="W27" s="397"/>
      <c r="X27" s="397"/>
      <c r="Y27" s="397"/>
      <c r="Z27" s="397"/>
      <c r="AA27" s="397"/>
      <c r="AB27" s="397"/>
      <c r="AC27" s="397"/>
      <c r="AD27" s="397"/>
      <c r="AE27" s="397"/>
      <c r="AF27" s="397"/>
      <c r="AG27" s="397"/>
      <c r="AH27" s="397"/>
      <c r="AI27" s="397"/>
      <c r="AJ27" s="397"/>
      <c r="AK27" s="397"/>
      <c r="AL27" s="397"/>
      <c r="AM27" s="397"/>
      <c r="AN27" s="397"/>
      <c r="AO27" s="397"/>
      <c r="AP27" s="397"/>
      <c r="AQ27" s="397"/>
      <c r="AR27" s="397"/>
      <c r="AS27" s="397"/>
      <c r="AT27" s="397"/>
      <c r="AU27" s="397"/>
      <c r="AV27" s="397"/>
      <c r="AW27" s="397"/>
      <c r="AX27" s="397"/>
      <c r="AY27" s="397"/>
      <c r="AZ27" s="397"/>
      <c r="BA27" s="397"/>
      <c r="BB27" s="397"/>
      <c r="BC27" s="397"/>
      <c r="BD27" s="397"/>
      <c r="BE27" s="397"/>
      <c r="BF27" s="397"/>
      <c r="BG27" s="397"/>
      <c r="BH27" s="397"/>
      <c r="BI27" s="397"/>
      <c r="BJ27" s="397"/>
      <c r="BK27" s="397"/>
      <c r="BL27" s="397"/>
      <c r="BM27" s="397"/>
      <c r="BN27" s="397"/>
      <c r="BO27" s="397"/>
      <c r="BP27" s="397"/>
      <c r="BQ27" s="397"/>
      <c r="BR27" s="397"/>
      <c r="BS27" s="397"/>
      <c r="BT27" s="397"/>
      <c r="BU27" s="397"/>
      <c r="BV27" s="397"/>
      <c r="BW27" s="397"/>
      <c r="BX27" s="397"/>
      <c r="BY27" s="397"/>
      <c r="BZ27" s="397"/>
      <c r="CA27" s="397"/>
      <c r="CB27" s="397"/>
      <c r="CC27" s="397"/>
      <c r="CD27" s="397"/>
      <c r="CE27" s="397"/>
      <c r="CF27" s="397"/>
      <c r="CG27" s="397"/>
      <c r="CH27" s="397"/>
      <c r="CI27" s="397"/>
      <c r="CJ27" s="397"/>
      <c r="CK27" s="397"/>
      <c r="CL27" s="397"/>
      <c r="CM27" s="397"/>
      <c r="CN27" s="397"/>
      <c r="CO27" s="397"/>
      <c r="CP27" s="397"/>
      <c r="CQ27" s="397"/>
      <c r="CR27" s="397"/>
      <c r="CS27" s="397"/>
      <c r="CT27" s="397"/>
      <c r="CU27" s="397"/>
      <c r="CV27" s="397"/>
      <c r="CW27" s="397"/>
      <c r="CX27" s="397"/>
      <c r="CY27" s="397"/>
      <c r="CZ27" s="397"/>
      <c r="DA27" s="397"/>
      <c r="DB27" s="397"/>
      <c r="DC27" s="397"/>
      <c r="DD27" s="397"/>
      <c r="DE27" s="397"/>
      <c r="DF27" s="397"/>
      <c r="DG27" s="397"/>
      <c r="DH27" s="397"/>
      <c r="DI27" s="397"/>
      <c r="DJ27" s="397"/>
      <c r="DK27" s="397"/>
      <c r="DL27" s="397"/>
      <c r="DM27" s="397"/>
      <c r="DN27" s="397"/>
      <c r="DO27" s="397"/>
      <c r="DP27" s="397"/>
      <c r="DQ27" s="397"/>
      <c r="DR27" s="397"/>
      <c r="DS27" s="397"/>
      <c r="DT27" s="397"/>
      <c r="DU27" s="397"/>
      <c r="DV27" s="397"/>
      <c r="DW27" s="397"/>
      <c r="DX27" s="397"/>
      <c r="DY27" s="397"/>
      <c r="DZ27" s="397"/>
      <c r="EA27" s="397"/>
      <c r="EB27" s="397"/>
      <c r="EC27" s="397"/>
      <c r="ED27" s="397"/>
      <c r="EE27" s="397"/>
      <c r="EF27" s="397"/>
      <c r="EG27" s="397"/>
    </row>
    <row r="28" spans="1:137">
      <c r="A28" s="554" t="str">
        <f t="shared" ref="A28:B31" si="8">A27</f>
        <v>Unknown</v>
      </c>
      <c r="B28" s="402">
        <f t="shared" si="8"/>
        <v>0</v>
      </c>
      <c r="C28" s="1028"/>
      <c r="D28" s="401" t="s">
        <v>997</v>
      </c>
      <c r="F28" s="347">
        <f t="shared" si="4"/>
        <v>17</v>
      </c>
      <c r="G28" s="1547" t="s">
        <v>1917</v>
      </c>
      <c r="H28" s="1544" t="s">
        <v>1900</v>
      </c>
      <c r="I28" s="1548">
        <v>750</v>
      </c>
      <c r="J28" s="1549">
        <v>2310</v>
      </c>
      <c r="K28" s="357">
        <f t="shared" si="0"/>
        <v>2310</v>
      </c>
      <c r="L28" s="1546">
        <v>2650</v>
      </c>
      <c r="M28" s="394"/>
      <c r="N28" s="515" t="str">
        <f t="shared" si="1"/>
        <v>2A</v>
      </c>
      <c r="O28" s="554" t="str">
        <f t="shared" si="2"/>
        <v>2 Bed / 1 Bath</v>
      </c>
      <c r="P28" s="444" t="str">
        <f t="shared" si="5"/>
        <v>2 Bedroom</v>
      </c>
      <c r="Q28" s="444" t="str">
        <f t="array" ref="Q28">IF(ISREF((INDEX($C$12:$C$36,SMALL(IF($C$12:$C$36&lt;&gt;"",ROW($C$12:$C$36)),ROW(B17))-11))),(INDEX($C$12:$C$36,SMALL(IF($C$12:$C$36&lt;&gt;"",ROW($C$12:$C$36)),ROW(B17))-11)),"-")</f>
        <v>-</v>
      </c>
      <c r="R28" s="444"/>
      <c r="S28" s="397"/>
      <c r="T28" s="397"/>
      <c r="U28" s="397"/>
      <c r="V28" s="397"/>
      <c r="W28" s="397"/>
      <c r="X28" s="397"/>
      <c r="Y28" s="397"/>
      <c r="Z28" s="397"/>
      <c r="AA28" s="397"/>
      <c r="AB28" s="397"/>
      <c r="AC28" s="397"/>
      <c r="AD28" s="397"/>
      <c r="AE28" s="397"/>
      <c r="AF28" s="397"/>
      <c r="AG28" s="397"/>
      <c r="AH28" s="397"/>
      <c r="AI28" s="397"/>
      <c r="AJ28" s="397"/>
      <c r="AK28" s="397"/>
      <c r="AL28" s="397"/>
      <c r="AM28" s="397"/>
      <c r="AN28" s="397"/>
      <c r="AO28" s="397"/>
      <c r="AP28" s="397"/>
      <c r="AQ28" s="397"/>
      <c r="AR28" s="397"/>
      <c r="AS28" s="397"/>
      <c r="AT28" s="397"/>
      <c r="AU28" s="397"/>
      <c r="AV28" s="397"/>
      <c r="AW28" s="397"/>
      <c r="AX28" s="397"/>
      <c r="AY28" s="397"/>
      <c r="AZ28" s="397"/>
      <c r="BA28" s="397"/>
      <c r="BB28" s="397"/>
      <c r="BC28" s="397"/>
      <c r="BD28" s="397"/>
      <c r="BE28" s="397"/>
      <c r="BF28" s="397"/>
      <c r="BG28" s="397"/>
      <c r="BH28" s="397"/>
      <c r="BI28" s="397"/>
      <c r="BJ28" s="397"/>
      <c r="BK28" s="397"/>
      <c r="BL28" s="397"/>
      <c r="BM28" s="397"/>
      <c r="BN28" s="397"/>
      <c r="BO28" s="397"/>
      <c r="BP28" s="397"/>
      <c r="BQ28" s="397"/>
      <c r="BR28" s="397"/>
      <c r="BS28" s="397"/>
      <c r="BT28" s="397"/>
      <c r="BU28" s="397"/>
      <c r="BV28" s="397"/>
      <c r="BW28" s="397"/>
      <c r="BX28" s="397"/>
      <c r="BY28" s="397"/>
      <c r="BZ28" s="397"/>
      <c r="CA28" s="397"/>
      <c r="CB28" s="397"/>
      <c r="CC28" s="397"/>
      <c r="CD28" s="397"/>
      <c r="CE28" s="397"/>
      <c r="CF28" s="397"/>
      <c r="CG28" s="397"/>
      <c r="CH28" s="397"/>
      <c r="CI28" s="397"/>
      <c r="CJ28" s="397"/>
      <c r="CK28" s="397"/>
      <c r="CL28" s="397"/>
      <c r="CM28" s="397"/>
      <c r="CN28" s="397"/>
      <c r="CO28" s="397"/>
      <c r="CP28" s="397"/>
      <c r="CQ28" s="397"/>
      <c r="CR28" s="397"/>
      <c r="CS28" s="397"/>
      <c r="CT28" s="397"/>
      <c r="CU28" s="397"/>
      <c r="CV28" s="397"/>
      <c r="CW28" s="397"/>
      <c r="CX28" s="397"/>
      <c r="CY28" s="397"/>
      <c r="CZ28" s="397"/>
      <c r="DA28" s="397"/>
      <c r="DB28" s="397"/>
      <c r="DC28" s="397"/>
      <c r="DD28" s="397"/>
      <c r="DE28" s="397"/>
      <c r="DF28" s="397"/>
      <c r="DG28" s="397"/>
      <c r="DH28" s="397"/>
      <c r="DI28" s="397"/>
      <c r="DJ28" s="397"/>
      <c r="DK28" s="397"/>
      <c r="DL28" s="397"/>
      <c r="DM28" s="397"/>
      <c r="DN28" s="397"/>
      <c r="DO28" s="397"/>
      <c r="DP28" s="397"/>
      <c r="DQ28" s="397"/>
      <c r="DR28" s="397"/>
      <c r="DS28" s="397"/>
      <c r="DT28" s="397"/>
      <c r="DU28" s="397"/>
      <c r="DV28" s="397"/>
      <c r="DW28" s="397"/>
      <c r="DX28" s="397"/>
      <c r="DY28" s="397"/>
      <c r="DZ28" s="397"/>
      <c r="EA28" s="397"/>
      <c r="EB28" s="397"/>
      <c r="EC28" s="397"/>
      <c r="ED28" s="397"/>
      <c r="EE28" s="397"/>
      <c r="EF28" s="397"/>
      <c r="EG28" s="397"/>
    </row>
    <row r="29" spans="1:137">
      <c r="A29" s="554" t="str">
        <f t="shared" si="8"/>
        <v>Unknown</v>
      </c>
      <c r="B29" s="402">
        <f t="shared" si="8"/>
        <v>0</v>
      </c>
      <c r="C29" s="1028"/>
      <c r="D29" s="401" t="s">
        <v>998</v>
      </c>
      <c r="F29" s="347">
        <f t="shared" si="4"/>
        <v>18</v>
      </c>
      <c r="G29" s="1547" t="s">
        <v>1918</v>
      </c>
      <c r="H29" s="1544" t="s">
        <v>1900</v>
      </c>
      <c r="I29" s="1548">
        <v>750</v>
      </c>
      <c r="J29" s="1549">
        <v>900</v>
      </c>
      <c r="K29" s="357">
        <f t="shared" si="0"/>
        <v>900</v>
      </c>
      <c r="L29" s="1546">
        <v>2650</v>
      </c>
      <c r="M29" s="394"/>
      <c r="N29" s="515" t="str">
        <f t="shared" si="1"/>
        <v>2A</v>
      </c>
      <c r="O29" s="554" t="str">
        <f t="shared" si="2"/>
        <v>2 Bed / 1 Bath</v>
      </c>
      <c r="P29" s="444" t="str">
        <f t="shared" si="5"/>
        <v>2 Bedroom</v>
      </c>
      <c r="Q29" s="444" t="str">
        <f t="array" ref="Q29">IF(ISREF((INDEX($C$12:$C$36,SMALL(IF($C$12:$C$36&lt;&gt;"",ROW($C$12:$C$36)),ROW(B18))-11))),(INDEX($C$12:$C$36,SMALL(IF($C$12:$C$36&lt;&gt;"",ROW($C$12:$C$36)),ROW(B18))-11)),"-")</f>
        <v>-</v>
      </c>
      <c r="R29" s="444"/>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c r="BH29" s="397"/>
      <c r="BI29" s="397"/>
      <c r="BJ29" s="397"/>
      <c r="BK29" s="397"/>
      <c r="BL29" s="397"/>
      <c r="BM29" s="397"/>
      <c r="BN29" s="397"/>
      <c r="BO29" s="397"/>
      <c r="BP29" s="397"/>
      <c r="BQ29" s="397"/>
      <c r="BR29" s="397"/>
      <c r="BS29" s="397"/>
      <c r="BT29" s="397"/>
      <c r="BU29" s="397"/>
      <c r="BV29" s="397"/>
      <c r="BW29" s="397"/>
      <c r="BX29" s="397"/>
      <c r="BY29" s="397"/>
      <c r="BZ29" s="397"/>
      <c r="CA29" s="397"/>
      <c r="CB29" s="397"/>
      <c r="CC29" s="397"/>
      <c r="CD29" s="397"/>
      <c r="CE29" s="397"/>
      <c r="CF29" s="397"/>
      <c r="CG29" s="397"/>
      <c r="CH29" s="397"/>
      <c r="CI29" s="397"/>
      <c r="CJ29" s="397"/>
      <c r="CK29" s="397"/>
      <c r="CL29" s="397"/>
      <c r="CM29" s="397"/>
      <c r="CN29" s="397"/>
      <c r="CO29" s="397"/>
      <c r="CP29" s="397"/>
      <c r="CQ29" s="397"/>
      <c r="CR29" s="397"/>
      <c r="CS29" s="397"/>
      <c r="CT29" s="397"/>
      <c r="CU29" s="397"/>
      <c r="CV29" s="397"/>
      <c r="CW29" s="397"/>
      <c r="CX29" s="397"/>
      <c r="CY29" s="397"/>
      <c r="CZ29" s="397"/>
      <c r="DA29" s="397"/>
      <c r="DB29" s="397"/>
      <c r="DC29" s="397"/>
      <c r="DD29" s="397"/>
      <c r="DE29" s="397"/>
      <c r="DF29" s="397"/>
      <c r="DG29" s="397"/>
      <c r="DH29" s="397"/>
      <c r="DI29" s="397"/>
      <c r="DJ29" s="397"/>
      <c r="DK29" s="397"/>
      <c r="DL29" s="397"/>
      <c r="DM29" s="397"/>
      <c r="DN29" s="397"/>
      <c r="DO29" s="397"/>
      <c r="DP29" s="397"/>
      <c r="DQ29" s="397"/>
      <c r="DR29" s="397"/>
      <c r="DS29" s="397"/>
      <c r="DT29" s="397"/>
      <c r="DU29" s="397"/>
      <c r="DV29" s="397"/>
      <c r="DW29" s="397"/>
      <c r="DX29" s="397"/>
      <c r="DY29" s="397"/>
      <c r="DZ29" s="397"/>
      <c r="EA29" s="397"/>
      <c r="EB29" s="397"/>
      <c r="EC29" s="397"/>
      <c r="ED29" s="397"/>
      <c r="EE29" s="397"/>
      <c r="EF29" s="397"/>
      <c r="EG29" s="397"/>
    </row>
    <row r="30" spans="1:137">
      <c r="A30" s="554" t="str">
        <f t="shared" si="8"/>
        <v>Unknown</v>
      </c>
      <c r="B30" s="402">
        <f t="shared" si="8"/>
        <v>0</v>
      </c>
      <c r="C30" s="1028"/>
      <c r="D30" s="401" t="s">
        <v>1002</v>
      </c>
      <c r="F30" s="347">
        <f t="shared" si="4"/>
        <v>19</v>
      </c>
      <c r="G30" s="1547" t="s">
        <v>1919</v>
      </c>
      <c r="H30" s="1544" t="s">
        <v>1900</v>
      </c>
      <c r="I30" s="1548">
        <v>750</v>
      </c>
      <c r="J30" s="1549">
        <v>2380</v>
      </c>
      <c r="K30" s="357">
        <f t="shared" si="0"/>
        <v>2380</v>
      </c>
      <c r="L30" s="1546">
        <v>2650</v>
      </c>
      <c r="M30" s="394"/>
      <c r="N30" s="515" t="str">
        <f t="shared" si="1"/>
        <v>2A</v>
      </c>
      <c r="O30" s="554" t="str">
        <f t="shared" si="2"/>
        <v>2 Bed / 1 Bath</v>
      </c>
      <c r="P30" s="444" t="str">
        <f t="shared" si="5"/>
        <v>2 Bedroom</v>
      </c>
      <c r="Q30" s="444" t="str">
        <f t="array" ref="Q30">IF(ISREF((INDEX($C$12:$C$36,SMALL(IF($C$12:$C$36&lt;&gt;"",ROW($C$12:$C$36)),ROW(B19))-11))),(INDEX($C$12:$C$36,SMALL(IF($C$12:$C$36&lt;&gt;"",ROW($C$12:$C$36)),ROW(B19))-11)),"-")</f>
        <v>-</v>
      </c>
      <c r="R30" s="444"/>
      <c r="S30" s="397"/>
      <c r="T30" s="397"/>
      <c r="U30" s="397"/>
      <c r="V30" s="397"/>
      <c r="W30" s="397"/>
      <c r="X30" s="397"/>
      <c r="Y30" s="397"/>
      <c r="Z30" s="397"/>
      <c r="AA30" s="397"/>
      <c r="AB30" s="397"/>
      <c r="AC30" s="397"/>
      <c r="AD30" s="397"/>
      <c r="AE30" s="397"/>
      <c r="AF30" s="397"/>
      <c r="AG30" s="397"/>
      <c r="AH30" s="397"/>
      <c r="AI30" s="397"/>
      <c r="AJ30" s="397"/>
      <c r="AK30" s="397"/>
      <c r="AL30" s="397"/>
      <c r="AM30" s="397"/>
      <c r="AN30" s="397"/>
      <c r="AO30" s="397"/>
      <c r="AP30" s="397"/>
      <c r="AQ30" s="397"/>
      <c r="AR30" s="397"/>
      <c r="AS30" s="397"/>
      <c r="AT30" s="397"/>
      <c r="AU30" s="397"/>
      <c r="AV30" s="397"/>
      <c r="AW30" s="397"/>
      <c r="AX30" s="397"/>
      <c r="AY30" s="397"/>
      <c r="AZ30" s="397"/>
      <c r="BA30" s="397"/>
      <c r="BB30" s="397"/>
      <c r="BC30" s="397"/>
      <c r="BD30" s="397"/>
      <c r="BE30" s="397"/>
      <c r="BF30" s="397"/>
      <c r="BG30" s="397"/>
      <c r="BH30" s="397"/>
      <c r="BI30" s="397"/>
      <c r="BJ30" s="397"/>
      <c r="BK30" s="397"/>
      <c r="BL30" s="397"/>
      <c r="BM30" s="397"/>
      <c r="BN30" s="397"/>
      <c r="BO30" s="397"/>
      <c r="BP30" s="397"/>
      <c r="BQ30" s="397"/>
      <c r="BR30" s="397"/>
      <c r="BS30" s="397"/>
      <c r="BT30" s="397"/>
      <c r="BU30" s="397"/>
      <c r="BV30" s="397"/>
      <c r="BW30" s="397"/>
      <c r="BX30" s="397"/>
      <c r="BY30" s="397"/>
      <c r="BZ30" s="397"/>
      <c r="CA30" s="397"/>
      <c r="CB30" s="397"/>
      <c r="CC30" s="397"/>
      <c r="CD30" s="397"/>
      <c r="CE30" s="397"/>
      <c r="CF30" s="397"/>
      <c r="CG30" s="397"/>
      <c r="CH30" s="397"/>
      <c r="CI30" s="397"/>
      <c r="CJ30" s="397"/>
      <c r="CK30" s="397"/>
      <c r="CL30" s="397"/>
      <c r="CM30" s="397"/>
      <c r="CN30" s="397"/>
      <c r="CO30" s="397"/>
      <c r="CP30" s="397"/>
      <c r="CQ30" s="397"/>
      <c r="CR30" s="397"/>
      <c r="CS30" s="397"/>
      <c r="CT30" s="397"/>
      <c r="CU30" s="397"/>
      <c r="CV30" s="397"/>
      <c r="CW30" s="397"/>
      <c r="CX30" s="397"/>
      <c r="CY30" s="397"/>
      <c r="CZ30" s="397"/>
      <c r="DA30" s="397"/>
      <c r="DB30" s="397"/>
      <c r="DC30" s="397"/>
      <c r="DD30" s="397"/>
      <c r="DE30" s="397"/>
      <c r="DF30" s="397"/>
      <c r="DG30" s="397"/>
      <c r="DH30" s="397"/>
      <c r="DI30" s="397"/>
      <c r="DJ30" s="397"/>
      <c r="DK30" s="397"/>
      <c r="DL30" s="397"/>
      <c r="DM30" s="397"/>
      <c r="DN30" s="397"/>
      <c r="DO30" s="397"/>
      <c r="DP30" s="397"/>
      <c r="DQ30" s="397"/>
      <c r="DR30" s="397"/>
      <c r="DS30" s="397"/>
      <c r="DT30" s="397"/>
      <c r="DU30" s="397"/>
      <c r="DV30" s="397"/>
      <c r="DW30" s="397"/>
      <c r="DX30" s="397"/>
      <c r="DY30" s="397"/>
      <c r="DZ30" s="397"/>
      <c r="EA30" s="397"/>
      <c r="EB30" s="397"/>
      <c r="EC30" s="397"/>
      <c r="ED30" s="397"/>
      <c r="EE30" s="397"/>
      <c r="EF30" s="397"/>
      <c r="EG30" s="397"/>
    </row>
    <row r="31" spans="1:137">
      <c r="A31" s="554" t="str">
        <f t="shared" si="8"/>
        <v>Unknown</v>
      </c>
      <c r="B31" s="402">
        <f t="shared" si="8"/>
        <v>0</v>
      </c>
      <c r="C31" s="1030"/>
      <c r="D31" s="401" t="s">
        <v>1608</v>
      </c>
      <c r="F31" s="347">
        <f t="shared" si="4"/>
        <v>20</v>
      </c>
      <c r="G31" s="1547" t="s">
        <v>1920</v>
      </c>
      <c r="H31" s="1544" t="s">
        <v>1932</v>
      </c>
      <c r="I31" s="1548">
        <v>750</v>
      </c>
      <c r="J31" s="1549"/>
      <c r="K31" s="357">
        <f t="shared" si="0"/>
        <v>2650</v>
      </c>
      <c r="L31" s="1546">
        <v>2650</v>
      </c>
      <c r="M31" s="394"/>
      <c r="N31" s="515" t="str">
        <f t="shared" si="1"/>
        <v>2B</v>
      </c>
      <c r="O31" s="554" t="str">
        <f t="shared" si="2"/>
        <v>2 Bed / 1 Bath</v>
      </c>
      <c r="P31" s="444" t="str">
        <f t="shared" si="5"/>
        <v>2 Bedroom</v>
      </c>
      <c r="Q31" s="444" t="str">
        <f t="array" ref="Q31">IF(ISREF((INDEX($C$12:$C$36,SMALL(IF($C$12:$C$36&lt;&gt;"",ROW($C$12:$C$36)),ROW(B20))-11))),(INDEX($C$12:$C$36,SMALL(IF($C$12:$C$36&lt;&gt;"",ROW($C$12:$C$36)),ROW(B20))-11)),"-")</f>
        <v>-</v>
      </c>
      <c r="R31" s="444"/>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397"/>
      <c r="BA31" s="397"/>
      <c r="BB31" s="397"/>
      <c r="BC31" s="397"/>
      <c r="BD31" s="397"/>
      <c r="BE31" s="397"/>
      <c r="BF31" s="397"/>
      <c r="BG31" s="397"/>
      <c r="BH31" s="397"/>
      <c r="BI31" s="397"/>
      <c r="BJ31" s="397"/>
      <c r="BK31" s="397"/>
      <c r="BL31" s="397"/>
      <c r="BM31" s="397"/>
      <c r="BN31" s="397"/>
      <c r="BO31" s="397"/>
      <c r="BP31" s="397"/>
      <c r="BQ31" s="397"/>
      <c r="BR31" s="397"/>
      <c r="BS31" s="397"/>
      <c r="BT31" s="397"/>
      <c r="BU31" s="397"/>
      <c r="BV31" s="397"/>
      <c r="BW31" s="397"/>
      <c r="BX31" s="397"/>
      <c r="BY31" s="397"/>
      <c r="BZ31" s="397"/>
      <c r="CA31" s="397"/>
      <c r="CB31" s="397"/>
      <c r="CC31" s="397"/>
      <c r="CD31" s="397"/>
      <c r="CE31" s="397"/>
      <c r="CF31" s="397"/>
      <c r="CG31" s="397"/>
      <c r="CH31" s="397"/>
      <c r="CI31" s="397"/>
      <c r="CJ31" s="397"/>
      <c r="CK31" s="397"/>
      <c r="CL31" s="397"/>
      <c r="CM31" s="397"/>
      <c r="CN31" s="397"/>
      <c r="CO31" s="397"/>
      <c r="CP31" s="397"/>
      <c r="CQ31" s="397"/>
      <c r="CR31" s="397"/>
      <c r="CS31" s="397"/>
      <c r="CT31" s="397"/>
      <c r="CU31" s="397"/>
      <c r="CV31" s="397"/>
      <c r="CW31" s="397"/>
      <c r="CX31" s="397"/>
      <c r="CY31" s="397"/>
      <c r="CZ31" s="397"/>
      <c r="DA31" s="397"/>
      <c r="DB31" s="397"/>
      <c r="DC31" s="397"/>
      <c r="DD31" s="397"/>
      <c r="DE31" s="397"/>
      <c r="DF31" s="397"/>
      <c r="DG31" s="397"/>
      <c r="DH31" s="397"/>
      <c r="DI31" s="397"/>
      <c r="DJ31" s="397"/>
      <c r="DK31" s="397"/>
      <c r="DL31" s="397"/>
      <c r="DM31" s="397"/>
      <c r="DN31" s="397"/>
      <c r="DO31" s="397"/>
      <c r="DP31" s="397"/>
      <c r="DQ31" s="397"/>
      <c r="DR31" s="397"/>
      <c r="DS31" s="397"/>
      <c r="DT31" s="397"/>
      <c r="DU31" s="397"/>
      <c r="DV31" s="397"/>
      <c r="DW31" s="397"/>
      <c r="DX31" s="397"/>
      <c r="DY31" s="397"/>
      <c r="DZ31" s="397"/>
      <c r="EA31" s="397"/>
      <c r="EB31" s="397"/>
      <c r="EC31" s="397"/>
      <c r="ED31" s="397"/>
      <c r="EE31" s="397"/>
      <c r="EF31" s="397"/>
      <c r="EG31" s="397"/>
    </row>
    <row r="32" spans="1:137">
      <c r="A32" s="554" t="str">
        <f>IFERROR(VALUE(LEFT(B32,1))&amp;" Bedroom",IFERROR(VLOOKUP(LEFT(B32,3),DDL_UnitLookup,2,FALSE),"Unknown"))</f>
        <v>Unknown</v>
      </c>
      <c r="B32" s="1033"/>
      <c r="C32" s="1031"/>
      <c r="D32" s="572" t="s">
        <v>1609</v>
      </c>
      <c r="F32" s="347">
        <f t="shared" si="4"/>
        <v>21</v>
      </c>
      <c r="G32" s="1547" t="s">
        <v>1921</v>
      </c>
      <c r="H32" s="1544" t="s">
        <v>1900</v>
      </c>
      <c r="I32" s="1548">
        <v>750</v>
      </c>
      <c r="J32" s="1549">
        <v>2365</v>
      </c>
      <c r="K32" s="357">
        <f t="shared" si="0"/>
        <v>2365</v>
      </c>
      <c r="L32" s="1546">
        <v>2650</v>
      </c>
      <c r="M32" s="394"/>
      <c r="N32" s="515" t="str">
        <f t="shared" si="1"/>
        <v>2A</v>
      </c>
      <c r="O32" s="554" t="str">
        <f t="shared" si="2"/>
        <v>2 Bed / 1 Bath</v>
      </c>
      <c r="P32" s="444" t="str">
        <f t="shared" si="5"/>
        <v>2 Bedroom</v>
      </c>
      <c r="Q32" s="444" t="str">
        <f t="array" ref="Q32">IF(ISREF((INDEX($C$12:$C$36,SMALL(IF($C$12:$C$36&lt;&gt;"",ROW($C$12:$C$36)),ROW(B21))-11))),(INDEX($C$12:$C$36,SMALL(IF($C$12:$C$36&lt;&gt;"",ROW($C$12:$C$36)),ROW(B21))-11)),"-")</f>
        <v>-</v>
      </c>
      <c r="R32" s="444"/>
      <c r="S32" s="397"/>
      <c r="T32" s="397"/>
      <c r="U32" s="397"/>
      <c r="V32" s="397"/>
      <c r="W32" s="397"/>
      <c r="X32" s="397"/>
      <c r="Y32" s="397"/>
      <c r="Z32" s="397"/>
      <c r="AA32" s="397"/>
      <c r="AB32" s="397"/>
      <c r="AC32" s="397"/>
      <c r="AD32" s="397"/>
      <c r="AE32" s="397"/>
      <c r="AF32" s="397"/>
      <c r="AG32" s="397"/>
      <c r="AH32" s="397"/>
      <c r="AI32" s="397"/>
      <c r="AJ32" s="397"/>
      <c r="AK32" s="397"/>
      <c r="AL32" s="397"/>
      <c r="AM32" s="397"/>
      <c r="AN32" s="397"/>
      <c r="AO32" s="397"/>
      <c r="AP32" s="397"/>
      <c r="AQ32" s="397"/>
      <c r="AR32" s="397"/>
      <c r="AS32" s="397"/>
      <c r="AT32" s="397"/>
      <c r="AU32" s="397"/>
      <c r="AV32" s="397"/>
      <c r="AW32" s="397"/>
      <c r="AX32" s="397"/>
      <c r="AY32" s="397"/>
      <c r="AZ32" s="397"/>
      <c r="BA32" s="397"/>
      <c r="BB32" s="397"/>
      <c r="BC32" s="397"/>
      <c r="BD32" s="397"/>
      <c r="BE32" s="397"/>
      <c r="BF32" s="397"/>
      <c r="BG32" s="397"/>
      <c r="BH32" s="397"/>
      <c r="BI32" s="397"/>
      <c r="BJ32" s="397"/>
      <c r="BK32" s="397"/>
      <c r="BL32" s="397"/>
      <c r="BM32" s="397"/>
      <c r="BN32" s="397"/>
      <c r="BO32" s="397"/>
      <c r="BP32" s="397"/>
      <c r="BQ32" s="397"/>
      <c r="BR32" s="397"/>
      <c r="BS32" s="397"/>
      <c r="BT32" s="397"/>
      <c r="BU32" s="397"/>
      <c r="BV32" s="397"/>
      <c r="BW32" s="397"/>
      <c r="BX32" s="397"/>
      <c r="BY32" s="397"/>
      <c r="BZ32" s="397"/>
      <c r="CA32" s="397"/>
      <c r="CB32" s="397"/>
      <c r="CC32" s="397"/>
      <c r="CD32" s="397"/>
      <c r="CE32" s="397"/>
      <c r="CF32" s="397"/>
      <c r="CG32" s="397"/>
      <c r="CH32" s="397"/>
      <c r="CI32" s="397"/>
      <c r="CJ32" s="397"/>
      <c r="CK32" s="397"/>
      <c r="CL32" s="397"/>
      <c r="CM32" s="397"/>
      <c r="CN32" s="397"/>
      <c r="CO32" s="397"/>
      <c r="CP32" s="397"/>
      <c r="CQ32" s="397"/>
      <c r="CR32" s="397"/>
      <c r="CS32" s="397"/>
      <c r="CT32" s="397"/>
      <c r="CU32" s="397"/>
      <c r="CV32" s="397"/>
      <c r="CW32" s="397"/>
      <c r="CX32" s="397"/>
      <c r="CY32" s="397"/>
      <c r="CZ32" s="397"/>
      <c r="DA32" s="397"/>
      <c r="DB32" s="397"/>
      <c r="DC32" s="397"/>
      <c r="DD32" s="397"/>
      <c r="DE32" s="397"/>
      <c r="DF32" s="397"/>
      <c r="DG32" s="397"/>
      <c r="DH32" s="397"/>
      <c r="DI32" s="397"/>
      <c r="DJ32" s="397"/>
      <c r="DK32" s="397"/>
      <c r="DL32" s="397"/>
      <c r="DM32" s="397"/>
      <c r="DN32" s="397"/>
      <c r="DO32" s="397"/>
      <c r="DP32" s="397"/>
      <c r="DQ32" s="397"/>
      <c r="DR32" s="397"/>
      <c r="DS32" s="397"/>
      <c r="DT32" s="397"/>
      <c r="DU32" s="397"/>
      <c r="DV32" s="397"/>
      <c r="DW32" s="397"/>
      <c r="DX32" s="397"/>
      <c r="DY32" s="397"/>
      <c r="DZ32" s="397"/>
      <c r="EA32" s="397"/>
      <c r="EB32" s="397"/>
      <c r="EC32" s="397"/>
      <c r="ED32" s="397"/>
      <c r="EE32" s="397"/>
      <c r="EF32" s="397"/>
      <c r="EG32" s="397"/>
    </row>
    <row r="33" spans="1:137">
      <c r="A33" s="554" t="str">
        <f t="shared" ref="A33" si="9">A32</f>
        <v>Unknown</v>
      </c>
      <c r="B33" s="402">
        <f t="shared" ref="B33" si="10">B32</f>
        <v>0</v>
      </c>
      <c r="C33" s="1029"/>
      <c r="D33" s="572" t="s">
        <v>1610</v>
      </c>
      <c r="F33" s="347">
        <f t="shared" si="4"/>
        <v>22</v>
      </c>
      <c r="G33" s="1547" t="s">
        <v>1922</v>
      </c>
      <c r="H33" s="1544" t="s">
        <v>1900</v>
      </c>
      <c r="I33" s="1548">
        <v>750</v>
      </c>
      <c r="J33" s="1549">
        <v>2040</v>
      </c>
      <c r="K33" s="357">
        <f t="shared" si="0"/>
        <v>2040</v>
      </c>
      <c r="L33" s="1546">
        <v>2650</v>
      </c>
      <c r="M33" s="394"/>
      <c r="N33" s="515" t="str">
        <f t="shared" si="1"/>
        <v>2A</v>
      </c>
      <c r="O33" s="554" t="str">
        <f t="shared" si="2"/>
        <v>2 Bed / 1 Bath</v>
      </c>
      <c r="P33" s="444" t="str">
        <f t="shared" si="5"/>
        <v>2 Bedroom</v>
      </c>
      <c r="Q33" s="444" t="str">
        <f t="array" ref="Q33">IF(ISREF((INDEX($C$12:$C$36,SMALL(IF($C$12:$C$36&lt;&gt;"",ROW($C$12:$C$36)),ROW(B22))-11))),(INDEX($C$12:$C$36,SMALL(IF($C$12:$C$36&lt;&gt;"",ROW($C$12:$C$36)),ROW(B22))-11)),"-")</f>
        <v>-</v>
      </c>
      <c r="R33" s="444"/>
      <c r="S33" s="397"/>
      <c r="T33" s="397"/>
      <c r="U33" s="397"/>
      <c r="V33" s="397"/>
      <c r="W33" s="397"/>
      <c r="X33" s="397"/>
      <c r="Y33" s="397"/>
      <c r="Z33" s="397"/>
      <c r="AA33" s="397"/>
      <c r="AB33" s="397"/>
      <c r="AC33" s="397"/>
      <c r="AD33" s="397"/>
      <c r="AE33" s="397"/>
      <c r="AF33" s="397"/>
      <c r="AG33" s="397"/>
      <c r="AH33" s="397"/>
      <c r="AI33" s="397"/>
      <c r="AJ33" s="397"/>
      <c r="AK33" s="397"/>
      <c r="AL33" s="397"/>
      <c r="AM33" s="397"/>
      <c r="AN33" s="397"/>
      <c r="AO33" s="397"/>
      <c r="AP33" s="397"/>
      <c r="AQ33" s="397"/>
      <c r="AR33" s="397"/>
      <c r="AS33" s="397"/>
      <c r="AT33" s="397"/>
      <c r="AU33" s="397"/>
      <c r="AV33" s="397"/>
      <c r="AW33" s="397"/>
      <c r="AX33" s="397"/>
      <c r="AY33" s="397"/>
      <c r="AZ33" s="397"/>
      <c r="BA33" s="397"/>
      <c r="BB33" s="397"/>
      <c r="BC33" s="397"/>
      <c r="BD33" s="397"/>
      <c r="BE33" s="397"/>
      <c r="BF33" s="397"/>
      <c r="BG33" s="397"/>
      <c r="BH33" s="397"/>
      <c r="BI33" s="397"/>
      <c r="BJ33" s="397"/>
      <c r="BK33" s="397"/>
      <c r="BL33" s="397"/>
      <c r="BM33" s="397"/>
      <c r="BN33" s="397"/>
      <c r="BO33" s="397"/>
      <c r="BP33" s="397"/>
      <c r="BQ33" s="397"/>
      <c r="BR33" s="397"/>
      <c r="BS33" s="397"/>
      <c r="BT33" s="397"/>
      <c r="BU33" s="397"/>
      <c r="BV33" s="397"/>
      <c r="BW33" s="397"/>
      <c r="BX33" s="397"/>
      <c r="BY33" s="397"/>
      <c r="BZ33" s="397"/>
      <c r="CA33" s="397"/>
      <c r="CB33" s="397"/>
      <c r="CC33" s="397"/>
      <c r="CD33" s="397"/>
      <c r="CE33" s="397"/>
      <c r="CF33" s="397"/>
      <c r="CG33" s="397"/>
      <c r="CH33" s="397"/>
      <c r="CI33" s="397"/>
      <c r="CJ33" s="397"/>
      <c r="CK33" s="397"/>
      <c r="CL33" s="397"/>
      <c r="CM33" s="397"/>
      <c r="CN33" s="397"/>
      <c r="CO33" s="397"/>
      <c r="CP33" s="397"/>
      <c r="CQ33" s="397"/>
      <c r="CR33" s="397"/>
      <c r="CS33" s="397"/>
      <c r="CT33" s="397"/>
      <c r="CU33" s="397"/>
      <c r="CV33" s="397"/>
      <c r="CW33" s="397"/>
      <c r="CX33" s="397"/>
      <c r="CY33" s="397"/>
      <c r="CZ33" s="397"/>
      <c r="DA33" s="397"/>
      <c r="DB33" s="397"/>
      <c r="DC33" s="397"/>
      <c r="DD33" s="397"/>
      <c r="DE33" s="397"/>
      <c r="DF33" s="397"/>
      <c r="DG33" s="397"/>
      <c r="DH33" s="397"/>
      <c r="DI33" s="397"/>
      <c r="DJ33" s="397"/>
      <c r="DK33" s="397"/>
      <c r="DL33" s="397"/>
      <c r="DM33" s="397"/>
      <c r="DN33" s="397"/>
      <c r="DO33" s="397"/>
      <c r="DP33" s="397"/>
      <c r="DQ33" s="397"/>
      <c r="DR33" s="397"/>
      <c r="DS33" s="397"/>
      <c r="DT33" s="397"/>
      <c r="DU33" s="397"/>
      <c r="DV33" s="397"/>
      <c r="DW33" s="397"/>
      <c r="DX33" s="397"/>
      <c r="DY33" s="397"/>
      <c r="DZ33" s="397"/>
      <c r="EA33" s="397"/>
      <c r="EB33" s="397"/>
      <c r="EC33" s="397"/>
      <c r="ED33" s="397"/>
      <c r="EE33" s="397"/>
      <c r="EF33" s="397"/>
      <c r="EG33" s="397"/>
    </row>
    <row r="34" spans="1:137">
      <c r="A34" s="554" t="str">
        <f t="shared" ref="A34" si="11">A33</f>
        <v>Unknown</v>
      </c>
      <c r="B34" s="402">
        <f t="shared" ref="B34" si="12">B33</f>
        <v>0</v>
      </c>
      <c r="C34" s="1029"/>
      <c r="D34" s="572" t="s">
        <v>1611</v>
      </c>
      <c r="F34" s="347">
        <f t="shared" si="4"/>
        <v>23</v>
      </c>
      <c r="G34" s="1547" t="s">
        <v>1923</v>
      </c>
      <c r="H34" s="1544" t="s">
        <v>1900</v>
      </c>
      <c r="I34" s="1548">
        <v>750</v>
      </c>
      <c r="J34" s="1549">
        <v>2150</v>
      </c>
      <c r="K34" s="357">
        <f t="shared" si="0"/>
        <v>2150</v>
      </c>
      <c r="L34" s="1546">
        <v>2650</v>
      </c>
      <c r="M34" s="394"/>
      <c r="N34" s="515" t="str">
        <f t="shared" si="1"/>
        <v>2A</v>
      </c>
      <c r="O34" s="554" t="str">
        <f t="shared" si="2"/>
        <v>2 Bed / 1 Bath</v>
      </c>
      <c r="P34" s="444" t="str">
        <f t="shared" si="5"/>
        <v>2 Bedroom</v>
      </c>
      <c r="Q34" s="444" t="str">
        <f t="array" ref="Q34">IF(ISREF((INDEX($C$12:$C$36,SMALL(IF($C$12:$C$36&lt;&gt;"",ROW($C$12:$C$36)),ROW(B23))-11))),(INDEX($C$12:$C$36,SMALL(IF($C$12:$C$36&lt;&gt;"",ROW($C$12:$C$36)),ROW(B23))-11)),"-")</f>
        <v>-</v>
      </c>
      <c r="R34" s="444"/>
      <c r="S34" s="397"/>
      <c r="T34" s="397"/>
      <c r="U34" s="397"/>
      <c r="V34" s="397"/>
      <c r="W34" s="397"/>
      <c r="X34" s="397"/>
      <c r="Y34" s="397"/>
      <c r="Z34" s="397"/>
      <c r="AA34" s="397"/>
      <c r="AB34" s="397"/>
      <c r="AC34" s="397"/>
      <c r="AD34" s="397"/>
      <c r="AE34" s="397"/>
      <c r="AF34" s="397"/>
      <c r="AG34" s="397"/>
      <c r="AH34" s="397"/>
      <c r="AI34" s="397"/>
      <c r="AJ34" s="397"/>
      <c r="AK34" s="397"/>
      <c r="AL34" s="397"/>
      <c r="AM34" s="397"/>
      <c r="AN34" s="397"/>
      <c r="AO34" s="397"/>
      <c r="AP34" s="397"/>
      <c r="AQ34" s="397"/>
      <c r="AR34" s="397"/>
      <c r="AS34" s="397"/>
      <c r="AT34" s="397"/>
      <c r="AU34" s="397"/>
      <c r="AV34" s="397"/>
      <c r="AW34" s="397"/>
      <c r="AX34" s="397"/>
      <c r="AY34" s="397"/>
      <c r="AZ34" s="397"/>
      <c r="BA34" s="397"/>
      <c r="BB34" s="397"/>
      <c r="BC34" s="397"/>
      <c r="BD34" s="397"/>
      <c r="BE34" s="397"/>
      <c r="BF34" s="397"/>
      <c r="BG34" s="397"/>
      <c r="BH34" s="397"/>
      <c r="BI34" s="397"/>
      <c r="BJ34" s="397"/>
      <c r="BK34" s="397"/>
      <c r="BL34" s="397"/>
      <c r="BM34" s="397"/>
      <c r="BN34" s="397"/>
      <c r="BO34" s="397"/>
      <c r="BP34" s="397"/>
      <c r="BQ34" s="397"/>
      <c r="BR34" s="397"/>
      <c r="BS34" s="397"/>
      <c r="BT34" s="397"/>
      <c r="BU34" s="397"/>
      <c r="BV34" s="397"/>
      <c r="BW34" s="397"/>
      <c r="BX34" s="397"/>
      <c r="BY34" s="397"/>
      <c r="BZ34" s="397"/>
      <c r="CA34" s="397"/>
      <c r="CB34" s="397"/>
      <c r="CC34" s="397"/>
      <c r="CD34" s="397"/>
      <c r="CE34" s="397"/>
      <c r="CF34" s="397"/>
      <c r="CG34" s="397"/>
      <c r="CH34" s="397"/>
      <c r="CI34" s="397"/>
      <c r="CJ34" s="397"/>
      <c r="CK34" s="397"/>
      <c r="CL34" s="397"/>
      <c r="CM34" s="397"/>
      <c r="CN34" s="397"/>
      <c r="CO34" s="397"/>
      <c r="CP34" s="397"/>
      <c r="CQ34" s="397"/>
      <c r="CR34" s="397"/>
      <c r="CS34" s="397"/>
      <c r="CT34" s="397"/>
      <c r="CU34" s="397"/>
      <c r="CV34" s="397"/>
      <c r="CW34" s="397"/>
      <c r="CX34" s="397"/>
      <c r="CY34" s="397"/>
      <c r="CZ34" s="397"/>
      <c r="DA34" s="397"/>
      <c r="DB34" s="397"/>
      <c r="DC34" s="397"/>
      <c r="DD34" s="397"/>
      <c r="DE34" s="397"/>
      <c r="DF34" s="397"/>
      <c r="DG34" s="397"/>
      <c r="DH34" s="397"/>
      <c r="DI34" s="397"/>
      <c r="DJ34" s="397"/>
      <c r="DK34" s="397"/>
      <c r="DL34" s="397"/>
      <c r="DM34" s="397"/>
      <c r="DN34" s="397"/>
      <c r="DO34" s="397"/>
      <c r="DP34" s="397"/>
      <c r="DQ34" s="397"/>
      <c r="DR34" s="397"/>
      <c r="DS34" s="397"/>
      <c r="DT34" s="397"/>
      <c r="DU34" s="397"/>
      <c r="DV34" s="397"/>
      <c r="DW34" s="397"/>
      <c r="DX34" s="397"/>
      <c r="DY34" s="397"/>
      <c r="DZ34" s="397"/>
      <c r="EA34" s="397"/>
      <c r="EB34" s="397"/>
      <c r="EC34" s="397"/>
      <c r="ED34" s="397"/>
      <c r="EE34" s="397"/>
      <c r="EF34" s="397"/>
      <c r="EG34" s="397"/>
    </row>
    <row r="35" spans="1:137">
      <c r="A35" s="554" t="str">
        <f t="shared" ref="A35" si="13">A34</f>
        <v>Unknown</v>
      </c>
      <c r="B35" s="402">
        <f t="shared" ref="B35" si="14">B34</f>
        <v>0</v>
      </c>
      <c r="C35" s="1029"/>
      <c r="D35" s="572" t="s">
        <v>1612</v>
      </c>
      <c r="F35" s="347">
        <f t="shared" si="4"/>
        <v>24</v>
      </c>
      <c r="G35" s="1547" t="s">
        <v>1924</v>
      </c>
      <c r="H35" s="1544" t="s">
        <v>1900</v>
      </c>
      <c r="I35" s="1548">
        <v>750</v>
      </c>
      <c r="J35" s="1549">
        <v>2025</v>
      </c>
      <c r="K35" s="357">
        <f t="shared" si="0"/>
        <v>2025</v>
      </c>
      <c r="L35" s="1546">
        <v>2650</v>
      </c>
      <c r="M35" s="394"/>
      <c r="N35" s="515" t="str">
        <f t="shared" si="1"/>
        <v>2A</v>
      </c>
      <c r="O35" s="554" t="str">
        <f t="shared" si="2"/>
        <v>2 Bed / 1 Bath</v>
      </c>
      <c r="P35" s="444" t="str">
        <f t="shared" si="5"/>
        <v>2 Bedroom</v>
      </c>
      <c r="Q35" s="444" t="str">
        <f t="array" ref="Q35">IF(ISREF((INDEX($C$12:$C$36,SMALL(IF($C$12:$C$36&lt;&gt;"",ROW($C$12:$C$36)),ROW(B24))-11))),(INDEX($C$12:$C$36,SMALL(IF($C$12:$C$36&lt;&gt;"",ROW($C$12:$C$36)),ROW(B24))-11)),"-")</f>
        <v>-</v>
      </c>
      <c r="R35" s="444"/>
      <c r="S35" s="397"/>
      <c r="T35" s="397"/>
      <c r="U35" s="397"/>
      <c r="V35" s="397"/>
      <c r="W35" s="397"/>
      <c r="X35" s="397"/>
      <c r="Y35" s="397"/>
      <c r="Z35" s="397"/>
      <c r="AA35" s="397"/>
      <c r="AB35" s="397"/>
      <c r="AC35" s="397"/>
      <c r="AD35" s="397"/>
      <c r="AE35" s="397"/>
      <c r="AF35" s="397"/>
      <c r="AG35" s="397"/>
      <c r="AH35" s="397"/>
      <c r="AI35" s="397"/>
      <c r="AJ35" s="397"/>
      <c r="AK35" s="397"/>
      <c r="AL35" s="397"/>
      <c r="AM35" s="397"/>
      <c r="AN35" s="397"/>
      <c r="AO35" s="397"/>
      <c r="AP35" s="397"/>
      <c r="AQ35" s="397"/>
      <c r="AR35" s="397"/>
      <c r="AS35" s="397"/>
      <c r="AT35" s="397"/>
      <c r="AU35" s="397"/>
      <c r="AV35" s="397"/>
      <c r="AW35" s="397"/>
      <c r="AX35" s="397"/>
      <c r="AY35" s="397"/>
      <c r="AZ35" s="397"/>
      <c r="BA35" s="397"/>
      <c r="BB35" s="397"/>
      <c r="BC35" s="397"/>
      <c r="BD35" s="397"/>
      <c r="BE35" s="397"/>
      <c r="BF35" s="397"/>
      <c r="BG35" s="397"/>
      <c r="BH35" s="397"/>
      <c r="BI35" s="397"/>
      <c r="BJ35" s="397"/>
      <c r="BK35" s="397"/>
      <c r="BL35" s="397"/>
      <c r="BM35" s="397"/>
      <c r="BN35" s="397"/>
      <c r="BO35" s="397"/>
      <c r="BP35" s="397"/>
      <c r="BQ35" s="397"/>
      <c r="BR35" s="397"/>
      <c r="BS35" s="397"/>
      <c r="BT35" s="397"/>
      <c r="BU35" s="397"/>
      <c r="BV35" s="397"/>
      <c r="BW35" s="397"/>
      <c r="BX35" s="397"/>
      <c r="BY35" s="397"/>
      <c r="BZ35" s="397"/>
      <c r="CA35" s="397"/>
      <c r="CB35" s="397"/>
      <c r="CC35" s="397"/>
      <c r="CD35" s="397"/>
      <c r="CE35" s="397"/>
      <c r="CF35" s="397"/>
      <c r="CG35" s="397"/>
      <c r="CH35" s="397"/>
      <c r="CI35" s="397"/>
      <c r="CJ35" s="397"/>
      <c r="CK35" s="397"/>
      <c r="CL35" s="397"/>
      <c r="CM35" s="397"/>
      <c r="CN35" s="397"/>
      <c r="CO35" s="397"/>
      <c r="CP35" s="397"/>
      <c r="CQ35" s="397"/>
      <c r="CR35" s="397"/>
      <c r="CS35" s="397"/>
      <c r="CT35" s="397"/>
      <c r="CU35" s="397"/>
      <c r="CV35" s="397"/>
      <c r="CW35" s="397"/>
      <c r="CX35" s="397"/>
      <c r="CY35" s="397"/>
      <c r="CZ35" s="397"/>
      <c r="DA35" s="397"/>
      <c r="DB35" s="397"/>
      <c r="DC35" s="397"/>
      <c r="DD35" s="397"/>
      <c r="DE35" s="397"/>
      <c r="DF35" s="397"/>
      <c r="DG35" s="397"/>
      <c r="DH35" s="397"/>
      <c r="DI35" s="397"/>
      <c r="DJ35" s="397"/>
      <c r="DK35" s="397"/>
      <c r="DL35" s="397"/>
      <c r="DM35" s="397"/>
      <c r="DN35" s="397"/>
      <c r="DO35" s="397"/>
      <c r="DP35" s="397"/>
      <c r="DQ35" s="397"/>
      <c r="DR35" s="397"/>
      <c r="DS35" s="397"/>
      <c r="DT35" s="397"/>
      <c r="DU35" s="397"/>
      <c r="DV35" s="397"/>
      <c r="DW35" s="397"/>
      <c r="DX35" s="397"/>
      <c r="DY35" s="397"/>
      <c r="DZ35" s="397"/>
      <c r="EA35" s="397"/>
      <c r="EB35" s="397"/>
      <c r="EC35" s="397"/>
      <c r="ED35" s="397"/>
      <c r="EE35" s="397"/>
      <c r="EF35" s="397"/>
      <c r="EG35" s="397"/>
    </row>
    <row r="36" spans="1:137">
      <c r="A36" s="554" t="str">
        <f t="shared" ref="A36" si="15">A35</f>
        <v>Unknown</v>
      </c>
      <c r="B36" s="404">
        <f t="shared" ref="B36" si="16">B35</f>
        <v>0</v>
      </c>
      <c r="C36" s="1032"/>
      <c r="D36" s="573" t="s">
        <v>1613</v>
      </c>
      <c r="F36" s="347">
        <f t="shared" si="4"/>
        <v>25</v>
      </c>
      <c r="G36" s="1547" t="s">
        <v>1925</v>
      </c>
      <c r="H36" s="1544" t="s">
        <v>1900</v>
      </c>
      <c r="I36" s="1548">
        <v>750</v>
      </c>
      <c r="J36" s="1549">
        <v>2365</v>
      </c>
      <c r="K36" s="357">
        <f t="shared" si="0"/>
        <v>2365</v>
      </c>
      <c r="L36" s="1546">
        <v>2650</v>
      </c>
      <c r="M36" s="394"/>
      <c r="N36" s="515" t="str">
        <f t="shared" si="1"/>
        <v>2A</v>
      </c>
      <c r="O36" s="554" t="str">
        <f t="shared" si="2"/>
        <v>2 Bed / 1 Bath</v>
      </c>
      <c r="P36" s="444" t="str">
        <f t="shared" si="5"/>
        <v>2 Bedroom</v>
      </c>
      <c r="Q36" s="444" t="str">
        <f t="array" ref="Q36">IF(ISREF((INDEX($C$12:$C$36,SMALL(IF($C$12:$C$36&lt;&gt;"",ROW($C$12:$C$36)),ROW(B25))-11))),(INDEX($C$12:$C$36,SMALL(IF($C$12:$C$36&lt;&gt;"",ROW($C$12:$C$36)),ROW(B25))-11)),"-")</f>
        <v>-</v>
      </c>
      <c r="R36" s="444"/>
      <c r="S36" s="397"/>
      <c r="T36" s="397"/>
      <c r="U36" s="397"/>
      <c r="V36" s="397"/>
      <c r="W36" s="397"/>
      <c r="X36" s="397"/>
      <c r="Y36" s="397"/>
      <c r="Z36" s="397"/>
      <c r="AA36" s="397"/>
      <c r="AB36" s="397"/>
      <c r="AC36" s="397"/>
      <c r="AD36" s="397"/>
      <c r="AE36" s="397"/>
      <c r="AF36" s="397"/>
      <c r="AG36" s="397"/>
      <c r="AH36" s="397"/>
      <c r="AI36" s="397"/>
      <c r="AJ36" s="397"/>
      <c r="AK36" s="397"/>
      <c r="AL36" s="397"/>
      <c r="AM36" s="397"/>
      <c r="AN36" s="397"/>
      <c r="AO36" s="397"/>
      <c r="AP36" s="397"/>
      <c r="AQ36" s="397"/>
      <c r="AR36" s="397"/>
      <c r="AS36" s="397"/>
      <c r="AT36" s="397"/>
      <c r="AU36" s="397"/>
      <c r="AV36" s="397"/>
      <c r="AW36" s="397"/>
      <c r="AX36" s="397"/>
      <c r="AY36" s="397"/>
      <c r="AZ36" s="397"/>
      <c r="BA36" s="397"/>
      <c r="BB36" s="397"/>
      <c r="BC36" s="397"/>
      <c r="BD36" s="397"/>
      <c r="BE36" s="397"/>
      <c r="BF36" s="397"/>
      <c r="BG36" s="397"/>
      <c r="BH36" s="397"/>
      <c r="BI36" s="397"/>
      <c r="BJ36" s="397"/>
      <c r="BK36" s="397"/>
      <c r="BL36" s="397"/>
      <c r="BM36" s="397"/>
      <c r="BN36" s="397"/>
      <c r="BO36" s="397"/>
      <c r="BP36" s="397"/>
      <c r="BQ36" s="397"/>
      <c r="BR36" s="397"/>
      <c r="BS36" s="397"/>
      <c r="BT36" s="397"/>
      <c r="BU36" s="397"/>
      <c r="BV36" s="397"/>
      <c r="BW36" s="397"/>
      <c r="BX36" s="397"/>
      <c r="BY36" s="397"/>
      <c r="BZ36" s="397"/>
      <c r="CA36" s="397"/>
      <c r="CB36" s="397"/>
      <c r="CC36" s="397"/>
      <c r="CD36" s="397"/>
      <c r="CE36" s="397"/>
      <c r="CF36" s="397"/>
      <c r="CG36" s="397"/>
      <c r="CH36" s="397"/>
      <c r="CI36" s="397"/>
      <c r="CJ36" s="397"/>
      <c r="CK36" s="397"/>
      <c r="CL36" s="397"/>
      <c r="CM36" s="397"/>
      <c r="CN36" s="397"/>
      <c r="CO36" s="397"/>
      <c r="CP36" s="397"/>
      <c r="CQ36" s="397"/>
      <c r="CR36" s="397"/>
      <c r="CS36" s="397"/>
      <c r="CT36" s="397"/>
      <c r="CU36" s="397"/>
      <c r="CV36" s="397"/>
      <c r="CW36" s="397"/>
      <c r="CX36" s="397"/>
      <c r="CY36" s="397"/>
      <c r="CZ36" s="397"/>
      <c r="DA36" s="397"/>
      <c r="DB36" s="397"/>
      <c r="DC36" s="397"/>
      <c r="DD36" s="397"/>
      <c r="DE36" s="397"/>
      <c r="DF36" s="397"/>
      <c r="DG36" s="397"/>
      <c r="DH36" s="397"/>
      <c r="DI36" s="397"/>
      <c r="DJ36" s="397"/>
      <c r="DK36" s="397"/>
      <c r="DL36" s="397"/>
      <c r="DM36" s="397"/>
      <c r="DN36" s="397"/>
      <c r="DO36" s="397"/>
      <c r="DP36" s="397"/>
      <c r="DQ36" s="397"/>
      <c r="DR36" s="397"/>
      <c r="DS36" s="397"/>
      <c r="DT36" s="397"/>
      <c r="DU36" s="397"/>
      <c r="DV36" s="397"/>
      <c r="DW36" s="397"/>
      <c r="DX36" s="397"/>
      <c r="DY36" s="397"/>
      <c r="DZ36" s="397"/>
      <c r="EA36" s="397"/>
      <c r="EB36" s="397"/>
      <c r="EC36" s="397"/>
      <c r="ED36" s="397"/>
      <c r="EE36" s="397"/>
      <c r="EF36" s="397"/>
      <c r="EG36" s="397"/>
    </row>
    <row r="37" spans="1:137">
      <c r="F37" s="347">
        <f t="shared" si="4"/>
        <v>26</v>
      </c>
      <c r="G37" s="1547" t="s">
        <v>1926</v>
      </c>
      <c r="H37" s="1544" t="s">
        <v>1900</v>
      </c>
      <c r="I37" s="1548">
        <v>750</v>
      </c>
      <c r="J37" s="1549">
        <v>1970</v>
      </c>
      <c r="K37" s="357">
        <f t="shared" si="0"/>
        <v>1970</v>
      </c>
      <c r="L37" s="1546">
        <v>2650</v>
      </c>
      <c r="M37" s="394"/>
      <c r="N37" s="515" t="str">
        <f t="shared" si="1"/>
        <v>2A</v>
      </c>
      <c r="O37" s="554" t="str">
        <f t="shared" si="2"/>
        <v>2 Bed / 1 Bath</v>
      </c>
      <c r="P37" s="444" t="str">
        <f t="shared" si="5"/>
        <v>2 Bedroom</v>
      </c>
      <c r="Q37" s="444"/>
      <c r="R37" s="444"/>
      <c r="S37" s="397"/>
      <c r="T37" s="397"/>
      <c r="U37" s="397"/>
      <c r="V37" s="397"/>
      <c r="W37" s="397"/>
      <c r="X37" s="397"/>
      <c r="Y37" s="397"/>
      <c r="Z37" s="397"/>
      <c r="AA37" s="397"/>
      <c r="AB37" s="397"/>
      <c r="AC37" s="397"/>
      <c r="AD37" s="397"/>
      <c r="AE37" s="397"/>
      <c r="AF37" s="397"/>
      <c r="AG37" s="397"/>
      <c r="AH37" s="397"/>
      <c r="AI37" s="397"/>
      <c r="AJ37" s="397"/>
      <c r="AK37" s="397"/>
      <c r="AL37" s="397"/>
      <c r="AM37" s="397"/>
      <c r="AN37" s="397"/>
      <c r="AO37" s="397"/>
      <c r="AP37" s="397"/>
      <c r="AQ37" s="397"/>
      <c r="AR37" s="397"/>
      <c r="AS37" s="397"/>
      <c r="AT37" s="397"/>
      <c r="AU37" s="397"/>
      <c r="AV37" s="397"/>
      <c r="AW37" s="397"/>
      <c r="AX37" s="397"/>
      <c r="AY37" s="397"/>
      <c r="AZ37" s="397"/>
      <c r="BA37" s="397"/>
      <c r="BB37" s="397"/>
      <c r="BC37" s="397"/>
      <c r="BD37" s="397"/>
      <c r="BE37" s="397"/>
      <c r="BF37" s="397"/>
      <c r="BG37" s="397"/>
      <c r="BH37" s="397"/>
      <c r="BI37" s="397"/>
      <c r="BJ37" s="397"/>
      <c r="BK37" s="397"/>
      <c r="BL37" s="397"/>
      <c r="BM37" s="397"/>
      <c r="BN37" s="397"/>
      <c r="BO37" s="397"/>
      <c r="BP37" s="397"/>
      <c r="BQ37" s="397"/>
      <c r="BR37" s="397"/>
      <c r="BS37" s="397"/>
      <c r="BT37" s="397"/>
      <c r="BU37" s="397"/>
      <c r="BV37" s="397"/>
      <c r="BW37" s="397"/>
      <c r="BX37" s="397"/>
      <c r="BY37" s="397"/>
      <c r="BZ37" s="397"/>
      <c r="CA37" s="397"/>
      <c r="CB37" s="397"/>
      <c r="CC37" s="397"/>
      <c r="CD37" s="397"/>
      <c r="CE37" s="397"/>
      <c r="CF37" s="397"/>
      <c r="CG37" s="397"/>
      <c r="CH37" s="397"/>
      <c r="CI37" s="397"/>
      <c r="CJ37" s="397"/>
      <c r="CK37" s="397"/>
      <c r="CL37" s="397"/>
      <c r="CM37" s="397"/>
      <c r="CN37" s="397"/>
      <c r="CO37" s="397"/>
      <c r="CP37" s="397"/>
      <c r="CQ37" s="397"/>
      <c r="CR37" s="397"/>
      <c r="CS37" s="397"/>
      <c r="CT37" s="397"/>
      <c r="CU37" s="397"/>
      <c r="CV37" s="397"/>
      <c r="CW37" s="397"/>
      <c r="CX37" s="397"/>
      <c r="CY37" s="397"/>
      <c r="CZ37" s="397"/>
      <c r="DA37" s="397"/>
      <c r="DB37" s="397"/>
      <c r="DC37" s="397"/>
      <c r="DD37" s="397"/>
      <c r="DE37" s="397"/>
      <c r="DF37" s="397"/>
      <c r="DG37" s="397"/>
      <c r="DH37" s="397"/>
      <c r="DI37" s="397"/>
      <c r="DJ37" s="397"/>
      <c r="DK37" s="397"/>
      <c r="DL37" s="397"/>
      <c r="DM37" s="397"/>
      <c r="DN37" s="397"/>
      <c r="DO37" s="397"/>
      <c r="DP37" s="397"/>
      <c r="DQ37" s="397"/>
      <c r="DR37" s="397"/>
      <c r="DS37" s="397"/>
      <c r="DT37" s="397"/>
      <c r="DU37" s="397"/>
      <c r="DV37" s="397"/>
      <c r="DW37" s="397"/>
      <c r="DX37" s="397"/>
      <c r="DY37" s="397"/>
      <c r="DZ37" s="397"/>
      <c r="EA37" s="397"/>
      <c r="EB37" s="397"/>
      <c r="EC37" s="397"/>
      <c r="ED37" s="397"/>
      <c r="EE37" s="397"/>
      <c r="EF37" s="397"/>
      <c r="EG37" s="397"/>
    </row>
    <row r="38" spans="1:137">
      <c r="F38" s="347">
        <f t="shared" si="4"/>
        <v>27</v>
      </c>
      <c r="G38" s="1547" t="s">
        <v>1927</v>
      </c>
      <c r="H38" s="1544" t="s">
        <v>1900</v>
      </c>
      <c r="I38" s="1548">
        <v>750</v>
      </c>
      <c r="J38" s="1549">
        <v>2450</v>
      </c>
      <c r="K38" s="357">
        <f t="shared" si="0"/>
        <v>2450</v>
      </c>
      <c r="L38" s="1546">
        <v>2650</v>
      </c>
      <c r="M38" s="394"/>
      <c r="N38" s="515" t="str">
        <f t="shared" si="1"/>
        <v>2A</v>
      </c>
      <c r="O38" s="554" t="str">
        <f t="shared" si="2"/>
        <v>2 Bed / 1 Bath</v>
      </c>
      <c r="P38" s="444" t="str">
        <f t="shared" si="5"/>
        <v>2 Bedroom</v>
      </c>
      <c r="Q38" s="444"/>
      <c r="R38" s="444"/>
      <c r="S38" s="397"/>
      <c r="T38" s="397"/>
      <c r="U38" s="397"/>
      <c r="V38" s="397"/>
      <c r="W38" s="397"/>
      <c r="X38" s="397"/>
      <c r="Y38" s="397"/>
      <c r="Z38" s="397"/>
      <c r="AA38" s="397"/>
      <c r="AB38" s="397"/>
      <c r="AC38" s="397"/>
      <c r="AD38" s="397"/>
      <c r="AE38" s="397"/>
      <c r="AF38" s="397"/>
      <c r="AG38" s="397"/>
      <c r="AH38" s="397"/>
      <c r="AI38" s="397"/>
      <c r="AJ38" s="397"/>
      <c r="AK38" s="397"/>
      <c r="AL38" s="397"/>
      <c r="AM38" s="397"/>
      <c r="AN38" s="397"/>
      <c r="AO38" s="397"/>
      <c r="AP38" s="397"/>
      <c r="AQ38" s="397"/>
      <c r="AR38" s="397"/>
      <c r="AS38" s="397"/>
      <c r="AT38" s="397"/>
      <c r="AU38" s="397"/>
      <c r="AV38" s="397"/>
      <c r="AW38" s="397"/>
      <c r="AX38" s="397"/>
      <c r="AY38" s="397"/>
      <c r="AZ38" s="397"/>
      <c r="BA38" s="397"/>
      <c r="BB38" s="397"/>
      <c r="BC38" s="397"/>
      <c r="BD38" s="397"/>
      <c r="BE38" s="397"/>
      <c r="BF38" s="397"/>
      <c r="BG38" s="397"/>
      <c r="BH38" s="397"/>
      <c r="BI38" s="397"/>
      <c r="BJ38" s="397"/>
      <c r="BK38" s="397"/>
      <c r="BL38" s="397"/>
      <c r="BM38" s="397"/>
      <c r="BN38" s="397"/>
      <c r="BO38" s="397"/>
      <c r="BP38" s="397"/>
      <c r="BQ38" s="397"/>
      <c r="BR38" s="397"/>
      <c r="BS38" s="397"/>
      <c r="BT38" s="397"/>
      <c r="BU38" s="397"/>
      <c r="BV38" s="397"/>
      <c r="BW38" s="397"/>
      <c r="BX38" s="397"/>
      <c r="BY38" s="397"/>
      <c r="BZ38" s="397"/>
      <c r="CA38" s="397"/>
      <c r="CB38" s="397"/>
      <c r="CC38" s="397"/>
      <c r="CD38" s="397"/>
      <c r="CE38" s="397"/>
      <c r="CF38" s="397"/>
      <c r="CG38" s="397"/>
      <c r="CH38" s="397"/>
      <c r="CI38" s="397"/>
      <c r="CJ38" s="397"/>
      <c r="CK38" s="397"/>
      <c r="CL38" s="397"/>
      <c r="CM38" s="397"/>
      <c r="CN38" s="397"/>
      <c r="CO38" s="397"/>
      <c r="CP38" s="397"/>
      <c r="CQ38" s="397"/>
      <c r="CR38" s="397"/>
      <c r="CS38" s="397"/>
      <c r="CT38" s="397"/>
      <c r="CU38" s="397"/>
      <c r="CV38" s="397"/>
      <c r="CW38" s="397"/>
      <c r="CX38" s="397"/>
      <c r="CY38" s="397"/>
      <c r="CZ38" s="397"/>
      <c r="DA38" s="397"/>
      <c r="DB38" s="397"/>
      <c r="DC38" s="397"/>
      <c r="DD38" s="397"/>
      <c r="DE38" s="397"/>
      <c r="DF38" s="397"/>
      <c r="DG38" s="397"/>
      <c r="DH38" s="397"/>
      <c r="DI38" s="397"/>
      <c r="DJ38" s="397"/>
      <c r="DK38" s="397"/>
      <c r="DL38" s="397"/>
      <c r="DM38" s="397"/>
      <c r="DN38" s="397"/>
      <c r="DO38" s="397"/>
      <c r="DP38" s="397"/>
      <c r="DQ38" s="397"/>
      <c r="DR38" s="397"/>
      <c r="DS38" s="397"/>
      <c r="DT38" s="397"/>
      <c r="DU38" s="397"/>
      <c r="DV38" s="397"/>
      <c r="DW38" s="397"/>
      <c r="DX38" s="397"/>
      <c r="DY38" s="397"/>
      <c r="DZ38" s="397"/>
      <c r="EA38" s="397"/>
      <c r="EB38" s="397"/>
      <c r="EC38" s="397"/>
      <c r="ED38" s="397"/>
      <c r="EE38" s="397"/>
      <c r="EF38" s="397"/>
      <c r="EG38" s="397"/>
    </row>
    <row r="39" spans="1:137">
      <c r="G39" s="1157"/>
      <c r="H39" s="1155"/>
      <c r="I39" s="1158"/>
      <c r="J39" s="1159"/>
      <c r="L39" s="1159"/>
      <c r="M39" s="1156"/>
      <c r="N39" s="515"/>
      <c r="O39" s="554"/>
      <c r="P39" s="444" t="str">
        <f t="shared" si="5"/>
        <v/>
      </c>
      <c r="Q39" s="397"/>
      <c r="R39" s="397"/>
      <c r="S39" s="397"/>
      <c r="T39" s="397"/>
      <c r="U39" s="397"/>
      <c r="V39" s="397"/>
      <c r="W39" s="397"/>
      <c r="X39" s="397"/>
      <c r="Y39" s="397"/>
      <c r="Z39" s="397"/>
      <c r="AA39" s="397"/>
      <c r="AB39" s="397"/>
      <c r="AC39" s="397"/>
      <c r="AD39" s="397"/>
      <c r="AE39" s="397"/>
      <c r="AF39" s="397"/>
      <c r="AG39" s="397"/>
      <c r="AH39" s="397"/>
      <c r="AI39" s="397"/>
      <c r="AJ39" s="397"/>
      <c r="AK39" s="397"/>
      <c r="AL39" s="397"/>
      <c r="AM39" s="397"/>
      <c r="AN39" s="397"/>
      <c r="AO39" s="397"/>
      <c r="AP39" s="397"/>
      <c r="AQ39" s="397"/>
      <c r="AR39" s="397"/>
      <c r="AS39" s="397"/>
      <c r="AT39" s="397"/>
      <c r="AU39" s="397"/>
      <c r="AV39" s="397"/>
      <c r="AW39" s="397"/>
      <c r="AX39" s="397"/>
      <c r="AY39" s="397"/>
      <c r="AZ39" s="397"/>
      <c r="BA39" s="397"/>
      <c r="BB39" s="397"/>
      <c r="BC39" s="397"/>
      <c r="BD39" s="397"/>
      <c r="BE39" s="397"/>
      <c r="BF39" s="397"/>
      <c r="BG39" s="397"/>
      <c r="BH39" s="397"/>
      <c r="BI39" s="397"/>
      <c r="BJ39" s="397"/>
      <c r="BK39" s="397"/>
      <c r="BL39" s="397"/>
      <c r="BM39" s="397"/>
      <c r="BN39" s="397"/>
      <c r="BO39" s="397"/>
      <c r="BP39" s="397"/>
      <c r="BQ39" s="397"/>
      <c r="BR39" s="397"/>
      <c r="BS39" s="397"/>
      <c r="BT39" s="397"/>
      <c r="BU39" s="397"/>
      <c r="BV39" s="397"/>
      <c r="BW39" s="397"/>
      <c r="BX39" s="397"/>
      <c r="BY39" s="397"/>
      <c r="BZ39" s="397"/>
      <c r="CA39" s="397"/>
      <c r="CB39" s="397"/>
      <c r="CC39" s="397"/>
      <c r="CD39" s="397"/>
      <c r="CE39" s="397"/>
      <c r="CF39" s="397"/>
      <c r="CG39" s="397"/>
      <c r="CH39" s="397"/>
      <c r="CI39" s="397"/>
      <c r="CJ39" s="397"/>
      <c r="CK39" s="397"/>
      <c r="CL39" s="397"/>
      <c r="CM39" s="397"/>
      <c r="CN39" s="397"/>
      <c r="CO39" s="397"/>
      <c r="CP39" s="397"/>
      <c r="CQ39" s="397"/>
      <c r="CR39" s="397"/>
      <c r="CS39" s="397"/>
      <c r="CT39" s="397"/>
      <c r="CU39" s="397"/>
      <c r="CV39" s="397"/>
      <c r="CW39" s="397"/>
      <c r="CX39" s="397"/>
      <c r="CY39" s="397"/>
      <c r="CZ39" s="397"/>
      <c r="DA39" s="397"/>
      <c r="DB39" s="397"/>
      <c r="DC39" s="397"/>
      <c r="DD39" s="397"/>
      <c r="DE39" s="397"/>
      <c r="DF39" s="397"/>
      <c r="DG39" s="397"/>
      <c r="DH39" s="397"/>
      <c r="DI39" s="397"/>
      <c r="DJ39" s="397"/>
      <c r="DK39" s="397"/>
      <c r="DL39" s="397"/>
      <c r="DM39" s="397"/>
      <c r="DN39" s="397"/>
      <c r="DO39" s="397"/>
      <c r="DP39" s="397"/>
      <c r="DQ39" s="397"/>
      <c r="DR39" s="397"/>
      <c r="DS39" s="397"/>
      <c r="DT39" s="397"/>
      <c r="DU39" s="397"/>
      <c r="DV39" s="397"/>
      <c r="DW39" s="397"/>
      <c r="DX39" s="397"/>
      <c r="DY39" s="397"/>
      <c r="DZ39" s="397"/>
      <c r="EA39" s="397"/>
      <c r="EB39" s="397"/>
      <c r="EC39" s="397"/>
      <c r="ED39" s="397"/>
      <c r="EE39" s="397"/>
      <c r="EF39" s="397"/>
      <c r="EG39" s="397"/>
    </row>
    <row r="40" spans="1:137">
      <c r="G40" s="1157"/>
      <c r="H40" s="1155"/>
      <c r="I40" s="1158"/>
      <c r="J40" s="1159"/>
      <c r="L40" s="1159"/>
      <c r="M40" s="1156"/>
      <c r="N40" s="515"/>
      <c r="O40" s="554"/>
      <c r="P40" s="444" t="str">
        <f t="shared" si="5"/>
        <v/>
      </c>
      <c r="Q40" s="397"/>
      <c r="R40" s="397"/>
      <c r="S40" s="397"/>
      <c r="T40" s="397"/>
      <c r="U40" s="397"/>
      <c r="V40" s="397"/>
      <c r="W40" s="397"/>
      <c r="X40" s="397"/>
      <c r="Y40" s="397"/>
      <c r="Z40" s="397"/>
      <c r="AA40" s="397"/>
      <c r="AB40" s="397"/>
      <c r="AC40" s="397"/>
      <c r="AD40" s="397"/>
      <c r="AE40" s="397"/>
      <c r="AF40" s="397"/>
      <c r="AG40" s="397"/>
      <c r="AH40" s="397"/>
      <c r="AI40" s="397"/>
      <c r="AJ40" s="397"/>
      <c r="AK40" s="397"/>
      <c r="AL40" s="397"/>
      <c r="AM40" s="397"/>
      <c r="AN40" s="397"/>
      <c r="AO40" s="397"/>
      <c r="AP40" s="397"/>
      <c r="AQ40" s="397"/>
      <c r="AR40" s="397"/>
      <c r="AS40" s="397"/>
      <c r="AT40" s="397"/>
      <c r="AU40" s="397"/>
      <c r="AV40" s="397"/>
      <c r="AW40" s="397"/>
      <c r="AX40" s="397"/>
      <c r="AY40" s="397"/>
      <c r="AZ40" s="397"/>
      <c r="BA40" s="397"/>
      <c r="BB40" s="397"/>
      <c r="BC40" s="397"/>
      <c r="BD40" s="397"/>
      <c r="BE40" s="397"/>
      <c r="BF40" s="397"/>
      <c r="BG40" s="397"/>
      <c r="BH40" s="397"/>
      <c r="BI40" s="397"/>
      <c r="BJ40" s="397"/>
      <c r="BK40" s="397"/>
      <c r="BL40" s="397"/>
      <c r="BM40" s="397"/>
      <c r="BN40" s="397"/>
      <c r="BO40" s="397"/>
      <c r="BP40" s="397"/>
      <c r="BQ40" s="397"/>
      <c r="BR40" s="397"/>
      <c r="BS40" s="397"/>
      <c r="BT40" s="397"/>
      <c r="BU40" s="397"/>
      <c r="BV40" s="397"/>
      <c r="BW40" s="397"/>
      <c r="BX40" s="397"/>
      <c r="BY40" s="397"/>
      <c r="BZ40" s="397"/>
      <c r="CA40" s="397"/>
      <c r="CB40" s="397"/>
      <c r="CC40" s="397"/>
      <c r="CD40" s="397"/>
      <c r="CE40" s="397"/>
      <c r="CF40" s="397"/>
      <c r="CG40" s="397"/>
      <c r="CH40" s="397"/>
      <c r="CI40" s="397"/>
      <c r="CJ40" s="397"/>
      <c r="CK40" s="397"/>
      <c r="CL40" s="397"/>
      <c r="CM40" s="397"/>
      <c r="CN40" s="397"/>
      <c r="CO40" s="397"/>
      <c r="CP40" s="397"/>
      <c r="CQ40" s="397"/>
      <c r="CR40" s="397"/>
      <c r="CS40" s="397"/>
      <c r="CT40" s="397"/>
      <c r="CU40" s="397"/>
      <c r="CV40" s="397"/>
      <c r="CW40" s="397"/>
      <c r="CX40" s="397"/>
      <c r="CY40" s="397"/>
      <c r="CZ40" s="397"/>
      <c r="DA40" s="397"/>
      <c r="DB40" s="397"/>
      <c r="DC40" s="397"/>
      <c r="DD40" s="397"/>
      <c r="DE40" s="397"/>
      <c r="DF40" s="397"/>
      <c r="DG40" s="397"/>
      <c r="DH40" s="397"/>
      <c r="DI40" s="397"/>
      <c r="DJ40" s="397"/>
      <c r="DK40" s="397"/>
      <c r="DL40" s="397"/>
      <c r="DM40" s="397"/>
      <c r="DN40" s="397"/>
      <c r="DO40" s="397"/>
      <c r="DP40" s="397"/>
      <c r="DQ40" s="397"/>
      <c r="DR40" s="397"/>
      <c r="DS40" s="397"/>
      <c r="DT40" s="397"/>
      <c r="DU40" s="397"/>
      <c r="DV40" s="397"/>
      <c r="DW40" s="397"/>
      <c r="DX40" s="397"/>
      <c r="DY40" s="397"/>
      <c r="DZ40" s="397"/>
      <c r="EA40" s="397"/>
      <c r="EB40" s="397"/>
      <c r="EC40" s="397"/>
      <c r="ED40" s="397"/>
      <c r="EE40" s="397"/>
      <c r="EF40" s="397"/>
      <c r="EG40" s="397"/>
    </row>
    <row r="41" spans="1:137">
      <c r="G41" s="1157"/>
      <c r="H41" s="1155"/>
      <c r="I41" s="1158"/>
      <c r="J41" s="1159"/>
      <c r="L41" s="1159"/>
      <c r="M41" s="1156"/>
      <c r="N41" s="515"/>
      <c r="O41" s="554"/>
      <c r="P41" s="444" t="str">
        <f t="shared" si="5"/>
        <v/>
      </c>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c r="BH41" s="397"/>
      <c r="BI41" s="397"/>
      <c r="BJ41" s="397"/>
      <c r="BK41" s="397"/>
      <c r="BL41" s="397"/>
      <c r="BM41" s="397"/>
      <c r="BN41" s="397"/>
      <c r="BO41" s="397"/>
      <c r="BP41" s="397"/>
      <c r="BQ41" s="397"/>
      <c r="BR41" s="397"/>
      <c r="BS41" s="397"/>
      <c r="BT41" s="397"/>
      <c r="BU41" s="397"/>
      <c r="BV41" s="397"/>
      <c r="BW41" s="397"/>
      <c r="BX41" s="397"/>
      <c r="BY41" s="397"/>
      <c r="BZ41" s="397"/>
      <c r="CA41" s="397"/>
      <c r="CB41" s="397"/>
      <c r="CC41" s="397"/>
      <c r="CD41" s="397"/>
      <c r="CE41" s="397"/>
      <c r="CF41" s="397"/>
      <c r="CG41" s="397"/>
      <c r="CH41" s="397"/>
      <c r="CI41" s="397"/>
      <c r="CJ41" s="397"/>
      <c r="CK41" s="397"/>
      <c r="CL41" s="397"/>
      <c r="CM41" s="397"/>
      <c r="CN41" s="397"/>
      <c r="CO41" s="397"/>
      <c r="CP41" s="397"/>
      <c r="CQ41" s="397"/>
      <c r="CR41" s="397"/>
      <c r="CS41" s="397"/>
      <c r="CT41" s="397"/>
      <c r="CU41" s="397"/>
      <c r="CV41" s="397"/>
      <c r="CW41" s="397"/>
      <c r="CX41" s="397"/>
      <c r="CY41" s="397"/>
      <c r="CZ41" s="397"/>
      <c r="DA41" s="397"/>
      <c r="DB41" s="397"/>
      <c r="DC41" s="397"/>
      <c r="DD41" s="397"/>
      <c r="DE41" s="397"/>
      <c r="DF41" s="397"/>
      <c r="DG41" s="397"/>
      <c r="DH41" s="397"/>
      <c r="DI41" s="397"/>
      <c r="DJ41" s="397"/>
      <c r="DK41" s="397"/>
      <c r="DL41" s="397"/>
      <c r="DM41" s="397"/>
      <c r="DN41" s="397"/>
      <c r="DO41" s="397"/>
      <c r="DP41" s="397"/>
      <c r="DQ41" s="397"/>
      <c r="DR41" s="397"/>
      <c r="DS41" s="397"/>
      <c r="DT41" s="397"/>
      <c r="DU41" s="397"/>
      <c r="DV41" s="397"/>
      <c r="DW41" s="397"/>
      <c r="DX41" s="397"/>
      <c r="DY41" s="397"/>
      <c r="DZ41" s="397"/>
      <c r="EA41" s="397"/>
      <c r="EB41" s="397"/>
      <c r="EC41" s="397"/>
      <c r="ED41" s="397"/>
      <c r="EE41" s="397"/>
      <c r="EF41" s="397"/>
      <c r="EG41" s="397"/>
    </row>
    <row r="42" spans="1:137">
      <c r="G42" s="1157"/>
      <c r="H42" s="1155"/>
      <c r="I42" s="1158"/>
      <c r="J42" s="1159"/>
      <c r="L42" s="1159"/>
      <c r="M42" s="1156"/>
      <c r="N42" s="515"/>
      <c r="O42" s="554"/>
      <c r="P42" s="444" t="str">
        <f t="shared" si="5"/>
        <v/>
      </c>
      <c r="Q42" s="397"/>
      <c r="R42" s="397"/>
      <c r="S42" s="397"/>
      <c r="T42" s="397"/>
      <c r="U42" s="397"/>
      <c r="V42" s="397"/>
      <c r="W42" s="397"/>
      <c r="X42" s="397"/>
      <c r="Y42" s="397"/>
      <c r="Z42" s="397"/>
      <c r="AA42" s="397"/>
      <c r="AB42" s="397"/>
      <c r="AC42" s="397"/>
      <c r="AD42" s="397"/>
      <c r="AE42" s="397"/>
      <c r="AF42" s="397"/>
      <c r="AG42" s="397"/>
      <c r="AH42" s="397"/>
      <c r="AI42" s="397"/>
      <c r="AJ42" s="397"/>
      <c r="AK42" s="397"/>
      <c r="AL42" s="397"/>
      <c r="AM42" s="397"/>
      <c r="AN42" s="397"/>
      <c r="AO42" s="397"/>
      <c r="AP42" s="397"/>
      <c r="AQ42" s="397"/>
      <c r="AR42" s="397"/>
      <c r="AS42" s="397"/>
      <c r="AT42" s="397"/>
      <c r="AU42" s="397"/>
      <c r="AV42" s="397"/>
      <c r="AW42" s="397"/>
      <c r="AX42" s="397"/>
      <c r="AY42" s="397"/>
      <c r="AZ42" s="397"/>
      <c r="BA42" s="397"/>
      <c r="BB42" s="397"/>
      <c r="BC42" s="397"/>
      <c r="BD42" s="397"/>
      <c r="BE42" s="397"/>
      <c r="BF42" s="397"/>
      <c r="BG42" s="397"/>
      <c r="BH42" s="397"/>
      <c r="BI42" s="397"/>
      <c r="BJ42" s="397"/>
      <c r="BK42" s="397"/>
      <c r="BL42" s="397"/>
      <c r="BM42" s="397"/>
      <c r="BN42" s="397"/>
      <c r="BO42" s="397"/>
      <c r="BP42" s="397"/>
      <c r="BQ42" s="397"/>
      <c r="BR42" s="397"/>
      <c r="BS42" s="397"/>
      <c r="BT42" s="397"/>
      <c r="BU42" s="397"/>
      <c r="BV42" s="397"/>
      <c r="BW42" s="397"/>
      <c r="BX42" s="397"/>
      <c r="BY42" s="397"/>
      <c r="BZ42" s="397"/>
      <c r="CA42" s="397"/>
      <c r="CB42" s="397"/>
      <c r="CC42" s="397"/>
      <c r="CD42" s="397"/>
      <c r="CE42" s="397"/>
      <c r="CF42" s="397"/>
      <c r="CG42" s="397"/>
      <c r="CH42" s="397"/>
      <c r="CI42" s="397"/>
      <c r="CJ42" s="397"/>
      <c r="CK42" s="397"/>
      <c r="CL42" s="397"/>
      <c r="CM42" s="397"/>
      <c r="CN42" s="397"/>
      <c r="CO42" s="397"/>
      <c r="CP42" s="397"/>
      <c r="CQ42" s="397"/>
      <c r="CR42" s="397"/>
      <c r="CS42" s="397"/>
      <c r="CT42" s="397"/>
      <c r="CU42" s="397"/>
      <c r="CV42" s="397"/>
      <c r="CW42" s="397"/>
      <c r="CX42" s="397"/>
      <c r="CY42" s="397"/>
      <c r="CZ42" s="397"/>
      <c r="DA42" s="397"/>
      <c r="DB42" s="397"/>
      <c r="DC42" s="397"/>
      <c r="DD42" s="397"/>
      <c r="DE42" s="397"/>
      <c r="DF42" s="397"/>
      <c r="DG42" s="397"/>
      <c r="DH42" s="397"/>
      <c r="DI42" s="397"/>
      <c r="DJ42" s="397"/>
      <c r="DK42" s="397"/>
      <c r="DL42" s="397"/>
      <c r="DM42" s="397"/>
      <c r="DN42" s="397"/>
      <c r="DO42" s="397"/>
      <c r="DP42" s="397"/>
      <c r="DQ42" s="397"/>
      <c r="DR42" s="397"/>
      <c r="DS42" s="397"/>
      <c r="DT42" s="397"/>
      <c r="DU42" s="397"/>
      <c r="DV42" s="397"/>
      <c r="DW42" s="397"/>
      <c r="DX42" s="397"/>
      <c r="DY42" s="397"/>
      <c r="DZ42" s="397"/>
      <c r="EA42" s="397"/>
      <c r="EB42" s="397"/>
      <c r="EC42" s="397"/>
      <c r="ED42" s="397"/>
      <c r="EE42" s="397"/>
      <c r="EF42" s="397"/>
      <c r="EG42" s="397"/>
    </row>
    <row r="43" spans="1:137">
      <c r="G43" s="1157"/>
      <c r="H43" s="1155"/>
      <c r="I43" s="1158"/>
      <c r="J43" s="1159"/>
      <c r="L43" s="1159"/>
      <c r="M43" s="1156"/>
      <c r="N43" s="515"/>
      <c r="O43" s="554"/>
      <c r="P43" s="444" t="str">
        <f t="shared" si="5"/>
        <v/>
      </c>
      <c r="Q43" s="444">
        <f>IF(COUNTA(C13:C36)&gt;0,COUNTA(C13:C36,1),1)</f>
        <v>4</v>
      </c>
      <c r="R43" s="397"/>
      <c r="S43" s="397"/>
      <c r="T43" s="397"/>
      <c r="U43" s="397"/>
      <c r="V43" s="397"/>
      <c r="W43" s="397"/>
      <c r="X43" s="397"/>
      <c r="Y43" s="397"/>
      <c r="Z43" s="397"/>
      <c r="AA43" s="397"/>
      <c r="AB43" s="397"/>
      <c r="AC43" s="397"/>
      <c r="AD43" s="397"/>
      <c r="AE43" s="397"/>
      <c r="AF43" s="397"/>
      <c r="AG43" s="397"/>
      <c r="AH43" s="397"/>
      <c r="AI43" s="397"/>
      <c r="AJ43" s="397"/>
      <c r="AK43" s="397"/>
      <c r="AL43" s="397"/>
      <c r="AM43" s="397"/>
      <c r="AN43" s="397"/>
      <c r="AO43" s="397"/>
      <c r="AP43" s="397"/>
      <c r="AQ43" s="397"/>
      <c r="AR43" s="397"/>
      <c r="AS43" s="397"/>
      <c r="AT43" s="397"/>
      <c r="AU43" s="397"/>
      <c r="AV43" s="397"/>
      <c r="AW43" s="397"/>
      <c r="AX43" s="397"/>
      <c r="AY43" s="397"/>
      <c r="AZ43" s="397"/>
      <c r="BA43" s="397"/>
      <c r="BB43" s="397"/>
      <c r="BC43" s="397"/>
      <c r="BD43" s="397"/>
      <c r="BE43" s="397"/>
      <c r="BF43" s="397"/>
      <c r="BG43" s="397"/>
      <c r="BH43" s="397"/>
      <c r="BI43" s="397"/>
      <c r="BJ43" s="397"/>
      <c r="BK43" s="397"/>
      <c r="BL43" s="397"/>
      <c r="BM43" s="397"/>
      <c r="BN43" s="397"/>
      <c r="BO43" s="397"/>
      <c r="BP43" s="397"/>
      <c r="BQ43" s="397"/>
      <c r="BR43" s="397"/>
      <c r="BS43" s="397"/>
      <c r="BT43" s="397"/>
      <c r="BU43" s="397"/>
      <c r="BV43" s="397"/>
      <c r="BW43" s="397"/>
      <c r="BX43" s="397"/>
      <c r="BY43" s="397"/>
      <c r="BZ43" s="397"/>
      <c r="CA43" s="397"/>
      <c r="CB43" s="397"/>
      <c r="CC43" s="397"/>
      <c r="CD43" s="397"/>
      <c r="CE43" s="397"/>
      <c r="CF43" s="397"/>
      <c r="CG43" s="397"/>
      <c r="CH43" s="397"/>
      <c r="CI43" s="397"/>
      <c r="CJ43" s="397"/>
      <c r="CK43" s="397"/>
      <c r="CL43" s="397"/>
      <c r="CM43" s="397"/>
      <c r="CN43" s="397"/>
      <c r="CO43" s="397"/>
      <c r="CP43" s="397"/>
      <c r="CQ43" s="397"/>
      <c r="CR43" s="397"/>
      <c r="CS43" s="397"/>
      <c r="CT43" s="397"/>
      <c r="CU43" s="397"/>
      <c r="CV43" s="397"/>
      <c r="CW43" s="397"/>
      <c r="CX43" s="397"/>
      <c r="CY43" s="397"/>
      <c r="CZ43" s="397"/>
      <c r="DA43" s="397"/>
      <c r="DB43" s="397"/>
      <c r="DC43" s="397"/>
      <c r="DD43" s="397"/>
      <c r="DE43" s="397"/>
      <c r="DF43" s="397"/>
      <c r="DG43" s="397"/>
      <c r="DH43" s="397"/>
      <c r="DI43" s="397"/>
      <c r="DJ43" s="397"/>
      <c r="DK43" s="397"/>
      <c r="DL43" s="397"/>
      <c r="DM43" s="397"/>
      <c r="DN43" s="397"/>
      <c r="DO43" s="397"/>
      <c r="DP43" s="397"/>
      <c r="DQ43" s="397"/>
      <c r="DR43" s="397"/>
      <c r="DS43" s="397"/>
      <c r="DT43" s="397"/>
      <c r="DU43" s="397"/>
      <c r="DV43" s="397"/>
      <c r="DW43" s="397"/>
      <c r="DX43" s="397"/>
      <c r="DY43" s="397"/>
      <c r="DZ43" s="397"/>
      <c r="EA43" s="397"/>
      <c r="EB43" s="397"/>
      <c r="EC43" s="397"/>
      <c r="ED43" s="397"/>
      <c r="EE43" s="397"/>
      <c r="EF43" s="397"/>
      <c r="EG43" s="397"/>
    </row>
    <row r="44" spans="1:137">
      <c r="G44" s="1157"/>
      <c r="H44" s="1155"/>
      <c r="I44" s="1158"/>
      <c r="J44" s="1159"/>
      <c r="L44" s="1159"/>
      <c r="M44" s="1156"/>
      <c r="N44" s="515"/>
      <c r="O44" s="554"/>
      <c r="P44" s="444" t="str">
        <f t="shared" si="5"/>
        <v/>
      </c>
      <c r="Q44" s="397"/>
      <c r="R44" s="397"/>
      <c r="S44" s="397"/>
      <c r="T44" s="397"/>
      <c r="U44" s="397"/>
      <c r="V44" s="397"/>
      <c r="W44" s="397"/>
      <c r="X44" s="397"/>
      <c r="Y44" s="397"/>
      <c r="Z44" s="397"/>
      <c r="AA44" s="397"/>
      <c r="AB44" s="397"/>
      <c r="AC44" s="397"/>
      <c r="AD44" s="397"/>
      <c r="AE44" s="397"/>
      <c r="AF44" s="397"/>
      <c r="AG44" s="397"/>
      <c r="AH44" s="397"/>
      <c r="AI44" s="397"/>
      <c r="AJ44" s="397"/>
      <c r="AK44" s="397"/>
      <c r="AL44" s="397"/>
      <c r="AM44" s="397"/>
      <c r="AN44" s="397"/>
      <c r="AO44" s="397"/>
      <c r="AP44" s="397"/>
      <c r="AQ44" s="397"/>
      <c r="AR44" s="397"/>
      <c r="AS44" s="397"/>
      <c r="AT44" s="397"/>
      <c r="AU44" s="397"/>
      <c r="AV44" s="397"/>
      <c r="AW44" s="397"/>
      <c r="AX44" s="397"/>
      <c r="AY44" s="397"/>
      <c r="AZ44" s="397"/>
      <c r="BA44" s="397"/>
      <c r="BB44" s="397"/>
      <c r="BC44" s="397"/>
      <c r="BD44" s="397"/>
      <c r="BE44" s="397"/>
      <c r="BF44" s="397"/>
      <c r="BG44" s="397"/>
      <c r="BH44" s="397"/>
      <c r="BI44" s="397"/>
      <c r="BJ44" s="397"/>
      <c r="BK44" s="397"/>
      <c r="BL44" s="397"/>
      <c r="BM44" s="397"/>
      <c r="BN44" s="397"/>
      <c r="BO44" s="397"/>
      <c r="BP44" s="397"/>
      <c r="BQ44" s="397"/>
      <c r="BR44" s="397"/>
      <c r="BS44" s="397"/>
      <c r="BT44" s="397"/>
      <c r="BU44" s="397"/>
      <c r="BV44" s="397"/>
      <c r="BW44" s="397"/>
      <c r="BX44" s="397"/>
      <c r="BY44" s="397"/>
      <c r="BZ44" s="397"/>
      <c r="CA44" s="397"/>
      <c r="CB44" s="397"/>
      <c r="CC44" s="397"/>
      <c r="CD44" s="397"/>
      <c r="CE44" s="397"/>
      <c r="CF44" s="397"/>
      <c r="CG44" s="397"/>
      <c r="CH44" s="397"/>
      <c r="CI44" s="397"/>
      <c r="CJ44" s="397"/>
      <c r="CK44" s="397"/>
      <c r="CL44" s="397"/>
      <c r="CM44" s="397"/>
      <c r="CN44" s="397"/>
      <c r="CO44" s="397"/>
      <c r="CP44" s="397"/>
      <c r="CQ44" s="397"/>
      <c r="CR44" s="397"/>
      <c r="CS44" s="397"/>
      <c r="CT44" s="397"/>
      <c r="CU44" s="397"/>
      <c r="CV44" s="397"/>
      <c r="CW44" s="397"/>
      <c r="CX44" s="397"/>
      <c r="CY44" s="397"/>
      <c r="CZ44" s="397"/>
      <c r="DA44" s="397"/>
      <c r="DB44" s="397"/>
      <c r="DC44" s="397"/>
      <c r="DD44" s="397"/>
      <c r="DE44" s="397"/>
      <c r="DF44" s="397"/>
      <c r="DG44" s="397"/>
      <c r="DH44" s="397"/>
      <c r="DI44" s="397"/>
      <c r="DJ44" s="397"/>
      <c r="DK44" s="397"/>
      <c r="DL44" s="397"/>
      <c r="DM44" s="397"/>
      <c r="DN44" s="397"/>
      <c r="DO44" s="397"/>
      <c r="DP44" s="397"/>
      <c r="DQ44" s="397"/>
      <c r="DR44" s="397"/>
      <c r="DS44" s="397"/>
      <c r="DT44" s="397"/>
      <c r="DU44" s="397"/>
      <c r="DV44" s="397"/>
      <c r="DW44" s="397"/>
      <c r="DX44" s="397"/>
      <c r="DY44" s="397"/>
      <c r="DZ44" s="397"/>
      <c r="EA44" s="397"/>
      <c r="EB44" s="397"/>
      <c r="EC44" s="397"/>
      <c r="ED44" s="397"/>
      <c r="EE44" s="397"/>
      <c r="EF44" s="397"/>
      <c r="EG44" s="397"/>
    </row>
    <row r="45" spans="1:137">
      <c r="G45" s="1157"/>
      <c r="H45" s="1155"/>
      <c r="I45" s="1158"/>
      <c r="J45" s="1159"/>
      <c r="L45" s="1159"/>
      <c r="M45" s="1156"/>
      <c r="N45" s="515"/>
      <c r="O45" s="554"/>
      <c r="P45" s="444" t="str">
        <f t="shared" si="5"/>
        <v/>
      </c>
      <c r="Q45" s="397"/>
      <c r="R45" s="397"/>
      <c r="S45" s="397"/>
      <c r="T45" s="397"/>
      <c r="U45" s="397"/>
      <c r="V45" s="397"/>
      <c r="W45" s="397"/>
      <c r="X45" s="397"/>
      <c r="Y45" s="397"/>
      <c r="Z45" s="397"/>
      <c r="AA45" s="397"/>
      <c r="AB45" s="397"/>
      <c r="AC45" s="397"/>
      <c r="AD45" s="397"/>
      <c r="AE45" s="397"/>
      <c r="AF45" s="397"/>
      <c r="AG45" s="397"/>
      <c r="AH45" s="397"/>
      <c r="AI45" s="397"/>
      <c r="AJ45" s="397"/>
      <c r="AK45" s="397"/>
      <c r="AL45" s="397"/>
      <c r="AM45" s="397"/>
      <c r="AN45" s="397"/>
      <c r="AO45" s="397"/>
      <c r="AP45" s="397"/>
      <c r="AQ45" s="397"/>
      <c r="AR45" s="397"/>
      <c r="AS45" s="397"/>
      <c r="AT45" s="397"/>
      <c r="AU45" s="397"/>
      <c r="AV45" s="397"/>
      <c r="AW45" s="397"/>
      <c r="AX45" s="397"/>
      <c r="AY45" s="397"/>
      <c r="AZ45" s="397"/>
      <c r="BA45" s="397"/>
      <c r="BB45" s="397"/>
      <c r="BC45" s="397"/>
      <c r="BD45" s="397"/>
      <c r="BE45" s="397"/>
      <c r="BF45" s="397"/>
      <c r="BG45" s="397"/>
      <c r="BH45" s="397"/>
      <c r="BI45" s="397"/>
      <c r="BJ45" s="397"/>
      <c r="BK45" s="397"/>
      <c r="BL45" s="397"/>
      <c r="BM45" s="397"/>
      <c r="BN45" s="397"/>
      <c r="BO45" s="397"/>
      <c r="BP45" s="397"/>
      <c r="BQ45" s="397"/>
      <c r="BR45" s="397"/>
      <c r="BS45" s="397"/>
      <c r="BT45" s="397"/>
      <c r="BU45" s="397"/>
      <c r="BV45" s="397"/>
      <c r="BW45" s="397"/>
      <c r="BX45" s="397"/>
      <c r="BY45" s="397"/>
      <c r="BZ45" s="397"/>
      <c r="CA45" s="397"/>
      <c r="CB45" s="397"/>
      <c r="CC45" s="397"/>
      <c r="CD45" s="397"/>
      <c r="CE45" s="397"/>
      <c r="CF45" s="397"/>
      <c r="CG45" s="397"/>
      <c r="CH45" s="397"/>
      <c r="CI45" s="397"/>
      <c r="CJ45" s="397"/>
      <c r="CK45" s="397"/>
      <c r="CL45" s="397"/>
      <c r="CM45" s="397"/>
      <c r="CN45" s="397"/>
      <c r="CO45" s="397"/>
      <c r="CP45" s="397"/>
      <c r="CQ45" s="397"/>
      <c r="CR45" s="397"/>
      <c r="CS45" s="397"/>
      <c r="CT45" s="397"/>
      <c r="CU45" s="397"/>
      <c r="CV45" s="397"/>
      <c r="CW45" s="397"/>
      <c r="CX45" s="397"/>
      <c r="CY45" s="397"/>
      <c r="CZ45" s="397"/>
      <c r="DA45" s="397"/>
      <c r="DB45" s="397"/>
      <c r="DC45" s="397"/>
      <c r="DD45" s="397"/>
      <c r="DE45" s="397"/>
      <c r="DF45" s="397"/>
      <c r="DG45" s="397"/>
      <c r="DH45" s="397"/>
      <c r="DI45" s="397"/>
      <c r="DJ45" s="397"/>
      <c r="DK45" s="397"/>
      <c r="DL45" s="397"/>
      <c r="DM45" s="397"/>
      <c r="DN45" s="397"/>
      <c r="DO45" s="397"/>
      <c r="DP45" s="397"/>
      <c r="DQ45" s="397"/>
      <c r="DR45" s="397"/>
      <c r="DS45" s="397"/>
      <c r="DT45" s="397"/>
      <c r="DU45" s="397"/>
      <c r="DV45" s="397"/>
      <c r="DW45" s="397"/>
      <c r="DX45" s="397"/>
      <c r="DY45" s="397"/>
      <c r="DZ45" s="397"/>
      <c r="EA45" s="397"/>
      <c r="EB45" s="397"/>
      <c r="EC45" s="397"/>
      <c r="ED45" s="397"/>
      <c r="EE45" s="397"/>
      <c r="EF45" s="397"/>
      <c r="EG45" s="397"/>
    </row>
    <row r="46" spans="1:137">
      <c r="G46" s="1157"/>
      <c r="H46" s="1155"/>
      <c r="I46" s="1158"/>
      <c r="J46" s="1159"/>
      <c r="L46" s="1159"/>
      <c r="M46" s="1156"/>
      <c r="N46" s="515"/>
      <c r="O46" s="554"/>
      <c r="P46" s="444" t="str">
        <f t="shared" si="5"/>
        <v/>
      </c>
      <c r="Q46" s="397"/>
      <c r="R46" s="397"/>
      <c r="S46" s="397"/>
      <c r="T46" s="397"/>
      <c r="U46" s="397"/>
      <c r="V46" s="397"/>
      <c r="W46" s="397"/>
      <c r="X46" s="397"/>
      <c r="Y46" s="397"/>
      <c r="Z46" s="397"/>
      <c r="AA46" s="397"/>
      <c r="AB46" s="397"/>
      <c r="AC46" s="397"/>
      <c r="AD46" s="397"/>
      <c r="AE46" s="397"/>
      <c r="AF46" s="397"/>
      <c r="AG46" s="397"/>
      <c r="AH46" s="397"/>
      <c r="AI46" s="397"/>
      <c r="AJ46" s="397"/>
      <c r="AK46" s="397"/>
      <c r="AL46" s="397"/>
      <c r="AM46" s="397"/>
      <c r="AN46" s="397"/>
      <c r="AO46" s="397"/>
      <c r="AP46" s="397"/>
      <c r="AQ46" s="397"/>
      <c r="AR46" s="397"/>
      <c r="AS46" s="397"/>
      <c r="AT46" s="397"/>
      <c r="AU46" s="397"/>
      <c r="AV46" s="397"/>
      <c r="AW46" s="397"/>
      <c r="AX46" s="397"/>
      <c r="AY46" s="397"/>
      <c r="AZ46" s="397"/>
      <c r="BA46" s="397"/>
      <c r="BB46" s="397"/>
      <c r="BC46" s="397"/>
      <c r="BD46" s="397"/>
      <c r="BE46" s="397"/>
      <c r="BF46" s="397"/>
      <c r="BG46" s="397"/>
      <c r="BH46" s="397"/>
      <c r="BI46" s="397"/>
      <c r="BJ46" s="397"/>
      <c r="BK46" s="397"/>
      <c r="BL46" s="397"/>
      <c r="BM46" s="397"/>
      <c r="BN46" s="397"/>
      <c r="BO46" s="397"/>
      <c r="BP46" s="397"/>
      <c r="BQ46" s="397"/>
      <c r="BR46" s="397"/>
      <c r="BS46" s="397"/>
      <c r="BT46" s="397"/>
      <c r="BU46" s="397"/>
      <c r="BV46" s="397"/>
      <c r="BW46" s="397"/>
      <c r="BX46" s="397"/>
      <c r="BY46" s="397"/>
      <c r="BZ46" s="397"/>
      <c r="CA46" s="397"/>
      <c r="CB46" s="397"/>
      <c r="CC46" s="397"/>
      <c r="CD46" s="397"/>
      <c r="CE46" s="397"/>
      <c r="CF46" s="397"/>
      <c r="CG46" s="397"/>
      <c r="CH46" s="397"/>
      <c r="CI46" s="397"/>
      <c r="CJ46" s="397"/>
      <c r="CK46" s="397"/>
      <c r="CL46" s="397"/>
      <c r="CM46" s="397"/>
      <c r="CN46" s="397"/>
      <c r="CO46" s="397"/>
      <c r="CP46" s="397"/>
      <c r="CQ46" s="397"/>
      <c r="CR46" s="397"/>
      <c r="CS46" s="397"/>
      <c r="CT46" s="397"/>
      <c r="CU46" s="397"/>
      <c r="CV46" s="397"/>
      <c r="CW46" s="397"/>
      <c r="CX46" s="397"/>
      <c r="CY46" s="397"/>
      <c r="CZ46" s="397"/>
      <c r="DA46" s="397"/>
      <c r="DB46" s="397"/>
      <c r="DC46" s="397"/>
      <c r="DD46" s="397"/>
      <c r="DE46" s="397"/>
      <c r="DF46" s="397"/>
      <c r="DG46" s="397"/>
      <c r="DH46" s="397"/>
      <c r="DI46" s="397"/>
      <c r="DJ46" s="397"/>
      <c r="DK46" s="397"/>
      <c r="DL46" s="397"/>
      <c r="DM46" s="397"/>
      <c r="DN46" s="397"/>
      <c r="DO46" s="397"/>
      <c r="DP46" s="397"/>
      <c r="DQ46" s="397"/>
      <c r="DR46" s="397"/>
      <c r="DS46" s="397"/>
      <c r="DT46" s="397"/>
      <c r="DU46" s="397"/>
      <c r="DV46" s="397"/>
      <c r="DW46" s="397"/>
      <c r="DX46" s="397"/>
      <c r="DY46" s="397"/>
      <c r="DZ46" s="397"/>
      <c r="EA46" s="397"/>
      <c r="EB46" s="397"/>
      <c r="EC46" s="397"/>
      <c r="ED46" s="397"/>
      <c r="EE46" s="397"/>
      <c r="EF46" s="397"/>
      <c r="EG46" s="397"/>
    </row>
    <row r="47" spans="1:137">
      <c r="G47" s="1157"/>
      <c r="H47" s="1155"/>
      <c r="I47" s="1158"/>
      <c r="J47" s="1159"/>
      <c r="L47" s="1159"/>
      <c r="M47" s="1156"/>
      <c r="N47" s="515"/>
      <c r="O47" s="554"/>
      <c r="P47" s="444" t="str">
        <f t="shared" si="5"/>
        <v/>
      </c>
      <c r="Q47" s="397"/>
      <c r="R47" s="397"/>
      <c r="S47" s="397"/>
      <c r="T47" s="397"/>
      <c r="U47" s="397"/>
      <c r="V47" s="397"/>
      <c r="W47" s="397"/>
      <c r="X47" s="397"/>
      <c r="Y47" s="397"/>
      <c r="Z47" s="397"/>
      <c r="AA47" s="397"/>
      <c r="AB47" s="397"/>
      <c r="AC47" s="397"/>
      <c r="AD47" s="397"/>
      <c r="AE47" s="397"/>
      <c r="AF47" s="397"/>
      <c r="AG47" s="397"/>
      <c r="AH47" s="397"/>
      <c r="AI47" s="397"/>
      <c r="AJ47" s="397"/>
      <c r="AK47" s="397"/>
      <c r="AL47" s="397"/>
      <c r="AM47" s="397"/>
      <c r="AN47" s="397"/>
      <c r="AO47" s="397"/>
      <c r="AP47" s="397"/>
      <c r="AQ47" s="397"/>
      <c r="AR47" s="397"/>
      <c r="AS47" s="397"/>
      <c r="AT47" s="397"/>
      <c r="AU47" s="397"/>
      <c r="AV47" s="397"/>
      <c r="AW47" s="397"/>
      <c r="AX47" s="397"/>
      <c r="AY47" s="397"/>
      <c r="AZ47" s="397"/>
      <c r="BA47" s="397"/>
      <c r="BB47" s="397"/>
      <c r="BC47" s="397"/>
      <c r="BD47" s="397"/>
      <c r="BE47" s="397"/>
      <c r="BF47" s="397"/>
      <c r="BG47" s="397"/>
      <c r="BH47" s="397"/>
      <c r="BI47" s="397"/>
      <c r="BJ47" s="397"/>
      <c r="BK47" s="397"/>
      <c r="BL47" s="397"/>
      <c r="BM47" s="397"/>
      <c r="BN47" s="397"/>
      <c r="BO47" s="397"/>
      <c r="BP47" s="397"/>
      <c r="BQ47" s="397"/>
      <c r="BR47" s="397"/>
      <c r="BS47" s="397"/>
      <c r="BT47" s="397"/>
      <c r="BU47" s="397"/>
      <c r="BV47" s="397"/>
      <c r="BW47" s="397"/>
      <c r="BX47" s="397"/>
      <c r="BY47" s="397"/>
      <c r="BZ47" s="397"/>
      <c r="CA47" s="397"/>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c r="DR47" s="397"/>
      <c r="DS47" s="397"/>
      <c r="DT47" s="397"/>
      <c r="DU47" s="397"/>
      <c r="DV47" s="397"/>
      <c r="DW47" s="397"/>
      <c r="DX47" s="397"/>
      <c r="DY47" s="397"/>
      <c r="DZ47" s="397"/>
      <c r="EA47" s="397"/>
      <c r="EB47" s="397"/>
      <c r="EC47" s="397"/>
      <c r="ED47" s="397"/>
      <c r="EE47" s="397"/>
      <c r="EF47" s="397"/>
      <c r="EG47" s="397"/>
    </row>
    <row r="48" spans="1:137">
      <c r="G48" s="1157"/>
      <c r="H48" s="1155"/>
      <c r="I48" s="1158"/>
      <c r="J48" s="1159"/>
      <c r="L48" s="1159"/>
      <c r="M48" s="1156"/>
      <c r="N48" s="515"/>
      <c r="O48" s="554"/>
      <c r="P48" s="444" t="str">
        <f t="shared" si="5"/>
        <v/>
      </c>
      <c r="Q48" s="397"/>
      <c r="R48" s="397"/>
      <c r="S48" s="397"/>
      <c r="T48" s="397"/>
      <c r="U48" s="397"/>
      <c r="V48" s="397"/>
      <c r="W48" s="397"/>
      <c r="X48" s="397"/>
      <c r="Y48" s="397"/>
      <c r="Z48" s="397"/>
      <c r="AA48" s="397"/>
      <c r="AB48" s="397"/>
      <c r="AC48" s="397"/>
      <c r="AD48" s="397"/>
      <c r="AE48" s="397"/>
      <c r="AF48" s="397"/>
      <c r="AG48" s="397"/>
      <c r="AH48" s="397"/>
      <c r="AI48" s="397"/>
      <c r="AJ48" s="397"/>
      <c r="AK48" s="397"/>
      <c r="AL48" s="397"/>
      <c r="AM48" s="397"/>
      <c r="AN48" s="397"/>
      <c r="AO48" s="397"/>
      <c r="AP48" s="397"/>
      <c r="AQ48" s="397"/>
      <c r="AR48" s="397"/>
      <c r="AS48" s="397"/>
      <c r="AT48" s="397"/>
      <c r="AU48" s="397"/>
      <c r="AV48" s="397"/>
      <c r="AW48" s="397"/>
      <c r="AX48" s="397"/>
      <c r="AY48" s="397"/>
      <c r="AZ48" s="397"/>
      <c r="BA48" s="397"/>
      <c r="BB48" s="397"/>
      <c r="BC48" s="397"/>
      <c r="BD48" s="397"/>
      <c r="BE48" s="397"/>
      <c r="BF48" s="397"/>
      <c r="BG48" s="397"/>
      <c r="BH48" s="397"/>
      <c r="BI48" s="397"/>
      <c r="BJ48" s="397"/>
      <c r="BK48" s="397"/>
      <c r="BL48" s="397"/>
      <c r="BM48" s="397"/>
      <c r="BN48" s="397"/>
      <c r="BO48" s="397"/>
      <c r="BP48" s="397"/>
      <c r="BQ48" s="397"/>
      <c r="BR48" s="397"/>
      <c r="BS48" s="397"/>
      <c r="BT48" s="397"/>
      <c r="BU48" s="397"/>
      <c r="BV48" s="397"/>
      <c r="BW48" s="397"/>
      <c r="BX48" s="397"/>
      <c r="BY48" s="397"/>
      <c r="BZ48" s="397"/>
      <c r="CA48" s="397"/>
      <c r="CB48" s="397"/>
      <c r="CC48" s="397"/>
      <c r="CD48" s="397"/>
      <c r="CE48" s="397"/>
      <c r="CF48" s="397"/>
      <c r="CG48" s="397"/>
      <c r="CH48" s="397"/>
      <c r="CI48" s="397"/>
      <c r="CJ48" s="397"/>
      <c r="CK48" s="397"/>
      <c r="CL48" s="397"/>
      <c r="CM48" s="397"/>
      <c r="CN48" s="397"/>
      <c r="CO48" s="397"/>
      <c r="CP48" s="397"/>
      <c r="CQ48" s="397"/>
      <c r="CR48" s="397"/>
      <c r="CS48" s="397"/>
      <c r="CT48" s="397"/>
      <c r="CU48" s="397"/>
      <c r="CV48" s="397"/>
      <c r="CW48" s="397"/>
      <c r="CX48" s="397"/>
      <c r="CY48" s="397"/>
      <c r="CZ48" s="397"/>
      <c r="DA48" s="397"/>
      <c r="DB48" s="397"/>
      <c r="DC48" s="397"/>
      <c r="DD48" s="397"/>
      <c r="DE48" s="397"/>
      <c r="DF48" s="397"/>
      <c r="DG48" s="397"/>
      <c r="DH48" s="397"/>
      <c r="DI48" s="397"/>
      <c r="DJ48" s="397"/>
      <c r="DK48" s="397"/>
      <c r="DL48" s="397"/>
      <c r="DM48" s="397"/>
      <c r="DN48" s="397"/>
      <c r="DO48" s="397"/>
      <c r="DP48" s="397"/>
      <c r="DQ48" s="397"/>
      <c r="DR48" s="397"/>
      <c r="DS48" s="397"/>
      <c r="DT48" s="397"/>
      <c r="DU48" s="397"/>
      <c r="DV48" s="397"/>
      <c r="DW48" s="397"/>
      <c r="DX48" s="397"/>
      <c r="DY48" s="397"/>
      <c r="DZ48" s="397"/>
      <c r="EA48" s="397"/>
      <c r="EB48" s="397"/>
      <c r="EC48" s="397"/>
      <c r="ED48" s="397"/>
      <c r="EE48" s="397"/>
      <c r="EF48" s="397"/>
      <c r="EG48" s="397"/>
    </row>
    <row r="49" spans="7:137">
      <c r="G49" s="1157"/>
      <c r="H49" s="1155"/>
      <c r="I49" s="1158"/>
      <c r="J49" s="1159"/>
      <c r="L49" s="1159"/>
      <c r="M49" s="1156"/>
      <c r="N49" s="515"/>
      <c r="O49" s="554"/>
      <c r="P49" s="444" t="str">
        <f t="shared" si="5"/>
        <v/>
      </c>
      <c r="Q49" s="397"/>
      <c r="R49" s="397"/>
      <c r="S49" s="397"/>
      <c r="T49" s="397"/>
      <c r="U49" s="397"/>
      <c r="V49" s="397"/>
      <c r="W49" s="397"/>
      <c r="X49" s="397"/>
      <c r="Y49" s="397"/>
      <c r="Z49" s="397"/>
      <c r="AA49" s="397"/>
      <c r="AB49" s="397"/>
      <c r="AC49" s="397"/>
      <c r="AD49" s="397"/>
      <c r="AE49" s="397"/>
      <c r="AF49" s="397"/>
      <c r="AG49" s="397"/>
      <c r="AH49" s="397"/>
      <c r="AI49" s="397"/>
      <c r="AJ49" s="397"/>
      <c r="AK49" s="397"/>
      <c r="AL49" s="397"/>
      <c r="AM49" s="397"/>
      <c r="AN49" s="397"/>
      <c r="AO49" s="397"/>
      <c r="AP49" s="397"/>
      <c r="AQ49" s="397"/>
      <c r="AR49" s="397"/>
      <c r="AS49" s="397"/>
      <c r="AT49" s="397"/>
      <c r="AU49" s="397"/>
      <c r="AV49" s="397"/>
      <c r="AW49" s="397"/>
      <c r="AX49" s="397"/>
      <c r="AY49" s="397"/>
      <c r="AZ49" s="397"/>
      <c r="BA49" s="397"/>
      <c r="BB49" s="397"/>
      <c r="BC49" s="397"/>
      <c r="BD49" s="397"/>
      <c r="BE49" s="397"/>
      <c r="BF49" s="397"/>
      <c r="BG49" s="397"/>
      <c r="BH49" s="397"/>
      <c r="BI49" s="397"/>
      <c r="BJ49" s="397"/>
      <c r="BK49" s="397"/>
      <c r="BL49" s="397"/>
      <c r="BM49" s="397"/>
      <c r="BN49" s="397"/>
      <c r="BO49" s="397"/>
      <c r="BP49" s="397"/>
      <c r="BQ49" s="397"/>
      <c r="BR49" s="397"/>
      <c r="BS49" s="397"/>
      <c r="BT49" s="397"/>
      <c r="BU49" s="397"/>
      <c r="BV49" s="397"/>
      <c r="BW49" s="397"/>
      <c r="BX49" s="397"/>
      <c r="BY49" s="397"/>
      <c r="BZ49" s="397"/>
      <c r="CA49" s="397"/>
      <c r="CB49" s="397"/>
      <c r="CC49" s="397"/>
      <c r="CD49" s="397"/>
      <c r="CE49" s="397"/>
      <c r="CF49" s="397"/>
      <c r="CG49" s="397"/>
      <c r="CH49" s="397"/>
      <c r="CI49" s="397"/>
      <c r="CJ49" s="397"/>
      <c r="CK49" s="397"/>
      <c r="CL49" s="397"/>
      <c r="CM49" s="397"/>
      <c r="CN49" s="397"/>
      <c r="CO49" s="397"/>
      <c r="CP49" s="397"/>
      <c r="CQ49" s="397"/>
      <c r="CR49" s="397"/>
      <c r="CS49" s="397"/>
      <c r="CT49" s="397"/>
      <c r="CU49" s="397"/>
      <c r="CV49" s="397"/>
      <c r="CW49" s="397"/>
      <c r="CX49" s="397"/>
      <c r="CY49" s="397"/>
      <c r="CZ49" s="397"/>
      <c r="DA49" s="397"/>
      <c r="DB49" s="397"/>
      <c r="DC49" s="397"/>
      <c r="DD49" s="397"/>
      <c r="DE49" s="397"/>
      <c r="DF49" s="397"/>
      <c r="DG49" s="397"/>
      <c r="DH49" s="397"/>
      <c r="DI49" s="397"/>
      <c r="DJ49" s="397"/>
      <c r="DK49" s="397"/>
      <c r="DL49" s="397"/>
      <c r="DM49" s="397"/>
      <c r="DN49" s="397"/>
      <c r="DO49" s="397"/>
      <c r="DP49" s="397"/>
      <c r="DQ49" s="397"/>
      <c r="DR49" s="397"/>
      <c r="DS49" s="397"/>
      <c r="DT49" s="397"/>
      <c r="DU49" s="397"/>
      <c r="DV49" s="397"/>
      <c r="DW49" s="397"/>
      <c r="DX49" s="397"/>
      <c r="DY49" s="397"/>
      <c r="DZ49" s="397"/>
      <c r="EA49" s="397"/>
      <c r="EB49" s="397"/>
      <c r="EC49" s="397"/>
      <c r="ED49" s="397"/>
      <c r="EE49" s="397"/>
      <c r="EF49" s="397"/>
      <c r="EG49" s="397"/>
    </row>
    <row r="50" spans="7:137">
      <c r="G50" s="1157"/>
      <c r="H50" s="1155"/>
      <c r="I50" s="1158"/>
      <c r="J50" s="1159"/>
      <c r="L50" s="1159"/>
      <c r="M50" s="1156"/>
      <c r="N50" s="515"/>
      <c r="O50" s="554"/>
      <c r="P50" s="444" t="str">
        <f t="shared" si="5"/>
        <v/>
      </c>
      <c r="Q50" s="397"/>
      <c r="R50" s="397"/>
      <c r="S50" s="397"/>
      <c r="T50" s="397"/>
      <c r="U50" s="397"/>
      <c r="V50" s="397"/>
      <c r="W50" s="397"/>
      <c r="X50" s="397"/>
      <c r="Y50" s="397"/>
      <c r="Z50" s="397"/>
      <c r="AA50" s="397"/>
      <c r="AB50" s="397"/>
      <c r="AC50" s="397"/>
      <c r="AD50" s="397"/>
      <c r="AE50" s="397"/>
      <c r="AF50" s="397"/>
      <c r="AG50" s="397"/>
      <c r="AH50" s="397"/>
      <c r="AI50" s="397"/>
      <c r="AJ50" s="397"/>
      <c r="AK50" s="397"/>
      <c r="AL50" s="397"/>
      <c r="AM50" s="397"/>
      <c r="AN50" s="397"/>
      <c r="AO50" s="397"/>
      <c r="AP50" s="397"/>
      <c r="AQ50" s="397"/>
      <c r="AR50" s="397"/>
      <c r="AS50" s="397"/>
      <c r="AT50" s="397"/>
      <c r="AU50" s="397"/>
      <c r="AV50" s="397"/>
      <c r="AW50" s="397"/>
      <c r="AX50" s="397"/>
      <c r="AY50" s="397"/>
      <c r="AZ50" s="397"/>
      <c r="BA50" s="397"/>
      <c r="BB50" s="397"/>
      <c r="BC50" s="397"/>
      <c r="BD50" s="397"/>
      <c r="BE50" s="397"/>
      <c r="BF50" s="397"/>
      <c r="BG50" s="397"/>
      <c r="BH50" s="397"/>
      <c r="BI50" s="397"/>
      <c r="BJ50" s="397"/>
      <c r="BK50" s="397"/>
      <c r="BL50" s="397"/>
      <c r="BM50" s="397"/>
      <c r="BN50" s="397"/>
      <c r="BO50" s="397"/>
      <c r="BP50" s="397"/>
      <c r="BQ50" s="397"/>
      <c r="BR50" s="397"/>
      <c r="BS50" s="397"/>
      <c r="BT50" s="397"/>
      <c r="BU50" s="397"/>
      <c r="BV50" s="397"/>
      <c r="BW50" s="397"/>
      <c r="BX50" s="397"/>
      <c r="BY50" s="397"/>
      <c r="BZ50" s="397"/>
      <c r="CA50" s="397"/>
      <c r="CB50" s="397"/>
      <c r="CC50" s="397"/>
      <c r="CD50" s="397"/>
      <c r="CE50" s="397"/>
      <c r="CF50" s="397"/>
      <c r="CG50" s="397"/>
      <c r="CH50" s="397"/>
      <c r="CI50" s="397"/>
      <c r="CJ50" s="397"/>
      <c r="CK50" s="397"/>
      <c r="CL50" s="397"/>
      <c r="CM50" s="397"/>
      <c r="CN50" s="397"/>
      <c r="CO50" s="397"/>
      <c r="CP50" s="397"/>
      <c r="CQ50" s="397"/>
      <c r="CR50" s="397"/>
      <c r="CS50" s="397"/>
      <c r="CT50" s="397"/>
      <c r="CU50" s="397"/>
      <c r="CV50" s="397"/>
      <c r="CW50" s="397"/>
      <c r="CX50" s="397"/>
      <c r="CY50" s="397"/>
      <c r="CZ50" s="397"/>
      <c r="DA50" s="397"/>
      <c r="DB50" s="397"/>
      <c r="DC50" s="397"/>
      <c r="DD50" s="397"/>
      <c r="DE50" s="397"/>
      <c r="DF50" s="397"/>
      <c r="DG50" s="397"/>
      <c r="DH50" s="397"/>
      <c r="DI50" s="397"/>
      <c r="DJ50" s="397"/>
      <c r="DK50" s="397"/>
      <c r="DL50" s="397"/>
      <c r="DM50" s="397"/>
      <c r="DN50" s="397"/>
      <c r="DO50" s="397"/>
      <c r="DP50" s="397"/>
      <c r="DQ50" s="397"/>
      <c r="DR50" s="397"/>
      <c r="DS50" s="397"/>
      <c r="DT50" s="397"/>
      <c r="DU50" s="397"/>
      <c r="DV50" s="397"/>
      <c r="DW50" s="397"/>
      <c r="DX50" s="397"/>
      <c r="DY50" s="397"/>
      <c r="DZ50" s="397"/>
      <c r="EA50" s="397"/>
      <c r="EB50" s="397"/>
      <c r="EC50" s="397"/>
      <c r="ED50" s="397"/>
      <c r="EE50" s="397"/>
      <c r="EF50" s="397"/>
      <c r="EG50" s="397"/>
    </row>
    <row r="51" spans="7:137">
      <c r="G51" s="1157"/>
      <c r="H51" s="1155"/>
      <c r="I51" s="1158"/>
      <c r="J51" s="1159"/>
      <c r="L51" s="1159"/>
      <c r="M51" s="1156"/>
      <c r="N51" s="515"/>
      <c r="O51" s="554"/>
      <c r="P51" s="444" t="str">
        <f t="shared" si="5"/>
        <v/>
      </c>
      <c r="Q51" s="397"/>
      <c r="R51" s="397"/>
      <c r="S51" s="397"/>
      <c r="T51" s="397"/>
      <c r="U51" s="397"/>
      <c r="V51" s="397"/>
      <c r="W51" s="397"/>
      <c r="X51" s="397"/>
      <c r="Y51" s="397"/>
      <c r="Z51" s="397"/>
      <c r="AA51" s="397"/>
      <c r="AB51" s="397"/>
      <c r="AC51" s="397"/>
      <c r="AD51" s="397"/>
      <c r="AE51" s="397"/>
      <c r="AF51" s="397"/>
      <c r="AG51" s="397"/>
      <c r="AH51" s="397"/>
      <c r="AI51" s="397"/>
      <c r="AJ51" s="397"/>
      <c r="AK51" s="397"/>
      <c r="AL51" s="397"/>
      <c r="AM51" s="397"/>
      <c r="AN51" s="397"/>
      <c r="AO51" s="397"/>
      <c r="AP51" s="397"/>
      <c r="AQ51" s="397"/>
      <c r="AR51" s="397"/>
      <c r="AS51" s="397"/>
      <c r="AT51" s="397"/>
      <c r="AU51" s="397"/>
      <c r="AV51" s="397"/>
      <c r="AW51" s="397"/>
      <c r="AX51" s="397"/>
      <c r="AY51" s="397"/>
      <c r="AZ51" s="397"/>
      <c r="BA51" s="397"/>
      <c r="BB51" s="397"/>
      <c r="BC51" s="397"/>
      <c r="BD51" s="397"/>
      <c r="BE51" s="397"/>
      <c r="BF51" s="397"/>
      <c r="BG51" s="397"/>
      <c r="BH51" s="397"/>
      <c r="BI51" s="397"/>
      <c r="BJ51" s="397"/>
      <c r="BK51" s="397"/>
      <c r="BL51" s="397"/>
      <c r="BM51" s="397"/>
      <c r="BN51" s="397"/>
      <c r="BO51" s="397"/>
      <c r="BP51" s="397"/>
      <c r="BQ51" s="397"/>
      <c r="BR51" s="397"/>
      <c r="BS51" s="397"/>
      <c r="BT51" s="397"/>
      <c r="BU51" s="397"/>
      <c r="BV51" s="397"/>
      <c r="BW51" s="397"/>
      <c r="BX51" s="397"/>
      <c r="BY51" s="397"/>
      <c r="BZ51" s="397"/>
      <c r="CA51" s="397"/>
      <c r="CB51" s="397"/>
      <c r="CC51" s="397"/>
      <c r="CD51" s="397"/>
      <c r="CE51" s="397"/>
      <c r="CF51" s="397"/>
      <c r="CG51" s="397"/>
      <c r="CH51" s="397"/>
      <c r="CI51" s="397"/>
      <c r="CJ51" s="397"/>
      <c r="CK51" s="397"/>
      <c r="CL51" s="397"/>
      <c r="CM51" s="397"/>
      <c r="CN51" s="397"/>
      <c r="CO51" s="397"/>
      <c r="CP51" s="397"/>
      <c r="CQ51" s="397"/>
      <c r="CR51" s="397"/>
      <c r="CS51" s="397"/>
      <c r="CT51" s="397"/>
      <c r="CU51" s="397"/>
      <c r="CV51" s="397"/>
      <c r="CW51" s="397"/>
      <c r="CX51" s="397"/>
      <c r="CY51" s="397"/>
      <c r="CZ51" s="397"/>
      <c r="DA51" s="397"/>
      <c r="DB51" s="397"/>
      <c r="DC51" s="397"/>
      <c r="DD51" s="397"/>
      <c r="DE51" s="397"/>
      <c r="DF51" s="397"/>
      <c r="DG51" s="397"/>
      <c r="DH51" s="397"/>
      <c r="DI51" s="397"/>
      <c r="DJ51" s="397"/>
      <c r="DK51" s="397"/>
      <c r="DL51" s="397"/>
      <c r="DM51" s="397"/>
      <c r="DN51" s="397"/>
      <c r="DO51" s="397"/>
      <c r="DP51" s="397"/>
      <c r="DQ51" s="397"/>
      <c r="DR51" s="397"/>
      <c r="DS51" s="397"/>
      <c r="DT51" s="397"/>
      <c r="DU51" s="397"/>
      <c r="DV51" s="397"/>
      <c r="DW51" s="397"/>
      <c r="DX51" s="397"/>
      <c r="DY51" s="397"/>
      <c r="DZ51" s="397"/>
      <c r="EA51" s="397"/>
      <c r="EB51" s="397"/>
      <c r="EC51" s="397"/>
      <c r="ED51" s="397"/>
      <c r="EE51" s="397"/>
      <c r="EF51" s="397"/>
      <c r="EG51" s="397"/>
    </row>
    <row r="52" spans="7:137">
      <c r="G52" s="1157"/>
      <c r="H52" s="1155"/>
      <c r="I52" s="1158"/>
      <c r="J52" s="1159"/>
      <c r="L52" s="1159"/>
      <c r="M52" s="1156"/>
      <c r="N52" s="515"/>
      <c r="O52" s="554"/>
      <c r="P52" s="444" t="str">
        <f t="shared" si="5"/>
        <v/>
      </c>
      <c r="Q52" s="397"/>
      <c r="R52" s="397"/>
      <c r="S52" s="397"/>
      <c r="T52" s="397"/>
      <c r="U52" s="397"/>
      <c r="V52" s="397"/>
      <c r="W52" s="397"/>
      <c r="X52" s="397"/>
      <c r="Y52" s="397"/>
      <c r="Z52" s="397"/>
      <c r="AA52" s="397"/>
      <c r="AB52" s="397"/>
      <c r="AC52" s="397"/>
      <c r="AD52" s="397"/>
      <c r="AE52" s="397"/>
      <c r="AF52" s="397"/>
      <c r="AG52" s="397"/>
      <c r="AH52" s="397"/>
      <c r="AI52" s="397"/>
      <c r="AJ52" s="397"/>
      <c r="AK52" s="397"/>
      <c r="AL52" s="397"/>
      <c r="AM52" s="397"/>
      <c r="AN52" s="397"/>
      <c r="AO52" s="397"/>
      <c r="AP52" s="397"/>
      <c r="AQ52" s="397"/>
      <c r="AR52" s="397"/>
      <c r="AS52" s="397"/>
      <c r="AT52" s="397"/>
      <c r="AU52" s="397"/>
      <c r="AV52" s="397"/>
      <c r="AW52" s="397"/>
      <c r="AX52" s="397"/>
      <c r="AY52" s="397"/>
      <c r="AZ52" s="397"/>
      <c r="BA52" s="397"/>
      <c r="BB52" s="397"/>
      <c r="BC52" s="397"/>
      <c r="BD52" s="397"/>
      <c r="BE52" s="397"/>
      <c r="BF52" s="397"/>
      <c r="BG52" s="397"/>
      <c r="BH52" s="397"/>
      <c r="BI52" s="397"/>
      <c r="BJ52" s="397"/>
      <c r="BK52" s="397"/>
      <c r="BL52" s="397"/>
      <c r="BM52" s="397"/>
      <c r="BN52" s="397"/>
      <c r="BO52" s="397"/>
      <c r="BP52" s="397"/>
      <c r="BQ52" s="397"/>
      <c r="BR52" s="397"/>
      <c r="BS52" s="397"/>
      <c r="BT52" s="397"/>
      <c r="BU52" s="397"/>
      <c r="BV52" s="397"/>
      <c r="BW52" s="397"/>
      <c r="BX52" s="397"/>
      <c r="BY52" s="397"/>
      <c r="BZ52" s="397"/>
      <c r="CA52" s="397"/>
      <c r="CB52" s="397"/>
      <c r="CC52" s="397"/>
      <c r="CD52" s="397"/>
      <c r="CE52" s="397"/>
      <c r="CF52" s="397"/>
      <c r="CG52" s="397"/>
      <c r="CH52" s="397"/>
      <c r="CI52" s="397"/>
      <c r="CJ52" s="397"/>
      <c r="CK52" s="397"/>
      <c r="CL52" s="397"/>
      <c r="CM52" s="397"/>
      <c r="CN52" s="397"/>
      <c r="CO52" s="397"/>
      <c r="CP52" s="397"/>
      <c r="CQ52" s="397"/>
      <c r="CR52" s="397"/>
      <c r="CS52" s="397"/>
      <c r="CT52" s="397"/>
      <c r="CU52" s="397"/>
      <c r="CV52" s="397"/>
      <c r="CW52" s="397"/>
      <c r="CX52" s="397"/>
      <c r="CY52" s="397"/>
      <c r="CZ52" s="397"/>
      <c r="DA52" s="397"/>
      <c r="DB52" s="397"/>
      <c r="DC52" s="397"/>
      <c r="DD52" s="397"/>
      <c r="DE52" s="397"/>
      <c r="DF52" s="397"/>
      <c r="DG52" s="397"/>
      <c r="DH52" s="397"/>
      <c r="DI52" s="397"/>
      <c r="DJ52" s="397"/>
      <c r="DK52" s="397"/>
      <c r="DL52" s="397"/>
      <c r="DM52" s="397"/>
      <c r="DN52" s="397"/>
      <c r="DO52" s="397"/>
      <c r="DP52" s="397"/>
      <c r="DQ52" s="397"/>
      <c r="DR52" s="397"/>
      <c r="DS52" s="397"/>
      <c r="DT52" s="397"/>
      <c r="DU52" s="397"/>
      <c r="DV52" s="397"/>
      <c r="DW52" s="397"/>
      <c r="DX52" s="397"/>
      <c r="DY52" s="397"/>
      <c r="DZ52" s="397"/>
      <c r="EA52" s="397"/>
      <c r="EB52" s="397"/>
      <c r="EC52" s="397"/>
      <c r="ED52" s="397"/>
      <c r="EE52" s="397"/>
      <c r="EF52" s="397"/>
      <c r="EG52" s="397"/>
    </row>
    <row r="53" spans="7:137">
      <c r="G53" s="1157"/>
      <c r="H53" s="1155"/>
      <c r="I53" s="1158"/>
      <c r="J53" s="1159"/>
      <c r="L53" s="1159"/>
      <c r="M53" s="1156"/>
      <c r="N53" s="515"/>
      <c r="O53" s="554"/>
      <c r="P53" s="444" t="str">
        <f t="shared" si="5"/>
        <v/>
      </c>
      <c r="Q53" s="397"/>
      <c r="R53" s="397"/>
      <c r="S53" s="397"/>
      <c r="T53" s="397"/>
      <c r="U53" s="397"/>
      <c r="V53" s="397"/>
      <c r="W53" s="397"/>
      <c r="X53" s="397"/>
      <c r="Y53" s="397"/>
      <c r="Z53" s="397"/>
      <c r="AA53" s="397"/>
      <c r="AB53" s="397"/>
      <c r="AC53" s="397"/>
      <c r="AD53" s="397"/>
      <c r="AE53" s="397"/>
      <c r="AF53" s="397"/>
      <c r="AG53" s="397"/>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397"/>
      <c r="BJ53" s="397"/>
      <c r="BK53" s="397"/>
      <c r="BL53" s="397"/>
      <c r="BM53" s="397"/>
      <c r="BN53" s="397"/>
      <c r="BO53" s="397"/>
      <c r="BP53" s="397"/>
      <c r="BQ53" s="397"/>
      <c r="BR53" s="397"/>
      <c r="BS53" s="397"/>
      <c r="BT53" s="397"/>
      <c r="BU53" s="397"/>
      <c r="BV53" s="397"/>
      <c r="BW53" s="397"/>
      <c r="BX53" s="397"/>
      <c r="BY53" s="397"/>
      <c r="BZ53" s="397"/>
      <c r="CA53" s="397"/>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c r="DR53" s="397"/>
      <c r="DS53" s="397"/>
      <c r="DT53" s="397"/>
      <c r="DU53" s="397"/>
      <c r="DV53" s="397"/>
      <c r="DW53" s="397"/>
      <c r="DX53" s="397"/>
      <c r="DY53" s="397"/>
      <c r="DZ53" s="397"/>
      <c r="EA53" s="397"/>
      <c r="EB53" s="397"/>
      <c r="EC53" s="397"/>
      <c r="ED53" s="397"/>
      <c r="EE53" s="397"/>
      <c r="EF53" s="397"/>
      <c r="EG53" s="397"/>
    </row>
    <row r="54" spans="7:137">
      <c r="G54" s="1157"/>
      <c r="H54" s="1155"/>
      <c r="I54" s="1158"/>
      <c r="J54" s="1159"/>
      <c r="L54" s="1159"/>
      <c r="M54" s="1156"/>
      <c r="N54" s="515"/>
      <c r="O54" s="554"/>
      <c r="P54" s="444" t="str">
        <f t="shared" si="5"/>
        <v/>
      </c>
      <c r="Q54" s="397"/>
      <c r="R54" s="397"/>
      <c r="S54" s="397"/>
      <c r="T54" s="397"/>
      <c r="U54" s="397"/>
      <c r="V54" s="397"/>
      <c r="W54" s="397"/>
      <c r="X54" s="397"/>
      <c r="Y54" s="397"/>
      <c r="Z54" s="397"/>
      <c r="AA54" s="397"/>
      <c r="AB54" s="397"/>
      <c r="AC54" s="397"/>
      <c r="AD54" s="397"/>
      <c r="AE54" s="397"/>
      <c r="AF54" s="397"/>
      <c r="AG54" s="397"/>
      <c r="AH54" s="397"/>
      <c r="AI54" s="397"/>
      <c r="AJ54" s="397"/>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397"/>
      <c r="BJ54" s="397"/>
      <c r="BK54" s="397"/>
      <c r="BL54" s="397"/>
      <c r="BM54" s="397"/>
      <c r="BN54" s="397"/>
      <c r="BO54" s="397"/>
      <c r="BP54" s="397"/>
      <c r="BQ54" s="397"/>
      <c r="BR54" s="397"/>
      <c r="BS54" s="397"/>
      <c r="BT54" s="397"/>
      <c r="BU54" s="397"/>
      <c r="BV54" s="397"/>
      <c r="BW54" s="397"/>
      <c r="BX54" s="397"/>
      <c r="BY54" s="397"/>
      <c r="BZ54" s="397"/>
      <c r="CA54" s="397"/>
      <c r="CB54" s="397"/>
      <c r="CC54" s="397"/>
      <c r="CD54" s="397"/>
      <c r="CE54" s="397"/>
      <c r="CF54" s="397"/>
      <c r="CG54" s="397"/>
      <c r="CH54" s="397"/>
      <c r="CI54" s="397"/>
      <c r="CJ54" s="397"/>
      <c r="CK54" s="397"/>
      <c r="CL54" s="397"/>
      <c r="CM54" s="397"/>
      <c r="CN54" s="397"/>
      <c r="CO54" s="397"/>
      <c r="CP54" s="397"/>
      <c r="CQ54" s="397"/>
      <c r="CR54" s="397"/>
      <c r="CS54" s="397"/>
      <c r="CT54" s="397"/>
      <c r="CU54" s="397"/>
      <c r="CV54" s="397"/>
      <c r="CW54" s="397"/>
      <c r="CX54" s="397"/>
      <c r="CY54" s="397"/>
      <c r="CZ54" s="397"/>
      <c r="DA54" s="397"/>
      <c r="DB54" s="397"/>
      <c r="DC54" s="397"/>
      <c r="DD54" s="397"/>
      <c r="DE54" s="397"/>
      <c r="DF54" s="397"/>
      <c r="DG54" s="397"/>
      <c r="DH54" s="397"/>
      <c r="DI54" s="397"/>
      <c r="DJ54" s="397"/>
      <c r="DK54" s="397"/>
      <c r="DL54" s="397"/>
      <c r="DM54" s="397"/>
      <c r="DN54" s="397"/>
      <c r="DO54" s="397"/>
      <c r="DP54" s="397"/>
      <c r="DQ54" s="397"/>
      <c r="DR54" s="397"/>
      <c r="DS54" s="397"/>
      <c r="DT54" s="397"/>
      <c r="DU54" s="397"/>
      <c r="DV54" s="397"/>
      <c r="DW54" s="397"/>
      <c r="DX54" s="397"/>
      <c r="DY54" s="397"/>
      <c r="DZ54" s="397"/>
      <c r="EA54" s="397"/>
      <c r="EB54" s="397"/>
      <c r="EC54" s="397"/>
      <c r="ED54" s="397"/>
      <c r="EE54" s="397"/>
      <c r="EF54" s="397"/>
      <c r="EG54" s="397"/>
    </row>
    <row r="55" spans="7:137">
      <c r="G55" s="1157"/>
      <c r="H55" s="1155"/>
      <c r="I55" s="1158"/>
      <c r="J55" s="1159"/>
      <c r="L55" s="1159"/>
      <c r="M55" s="1156"/>
      <c r="N55" s="515"/>
      <c r="O55" s="554"/>
      <c r="P55" s="444" t="str">
        <f t="shared" si="5"/>
        <v/>
      </c>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397"/>
      <c r="BJ55" s="397"/>
      <c r="BK55" s="397"/>
      <c r="BL55" s="397"/>
      <c r="BM55" s="397"/>
      <c r="BN55" s="397"/>
      <c r="BO55" s="397"/>
      <c r="BP55" s="397"/>
      <c r="BQ55" s="397"/>
      <c r="BR55" s="397"/>
      <c r="BS55" s="397"/>
      <c r="BT55" s="397"/>
      <c r="BU55" s="397"/>
      <c r="BV55" s="397"/>
      <c r="BW55" s="397"/>
      <c r="BX55" s="397"/>
      <c r="BY55" s="397"/>
      <c r="BZ55" s="397"/>
      <c r="CA55" s="397"/>
      <c r="CB55" s="397"/>
      <c r="CC55" s="397"/>
      <c r="CD55" s="397"/>
      <c r="CE55" s="397"/>
      <c r="CF55" s="397"/>
      <c r="CG55" s="397"/>
      <c r="CH55" s="397"/>
      <c r="CI55" s="397"/>
      <c r="CJ55" s="397"/>
      <c r="CK55" s="397"/>
      <c r="CL55" s="397"/>
      <c r="CM55" s="397"/>
      <c r="CN55" s="397"/>
      <c r="CO55" s="397"/>
      <c r="CP55" s="397"/>
      <c r="CQ55" s="397"/>
      <c r="CR55" s="397"/>
      <c r="CS55" s="397"/>
      <c r="CT55" s="397"/>
      <c r="CU55" s="397"/>
      <c r="CV55" s="397"/>
      <c r="CW55" s="397"/>
      <c r="CX55" s="397"/>
      <c r="CY55" s="397"/>
      <c r="CZ55" s="397"/>
      <c r="DA55" s="397"/>
      <c r="DB55" s="397"/>
      <c r="DC55" s="397"/>
      <c r="DD55" s="397"/>
      <c r="DE55" s="397"/>
      <c r="DF55" s="397"/>
      <c r="DG55" s="397"/>
      <c r="DH55" s="397"/>
      <c r="DI55" s="397"/>
      <c r="DJ55" s="397"/>
      <c r="DK55" s="397"/>
      <c r="DL55" s="397"/>
      <c r="DM55" s="397"/>
      <c r="DN55" s="397"/>
      <c r="DO55" s="397"/>
      <c r="DP55" s="397"/>
      <c r="DQ55" s="397"/>
      <c r="DR55" s="397"/>
      <c r="DS55" s="397"/>
      <c r="DT55" s="397"/>
      <c r="DU55" s="397"/>
      <c r="DV55" s="397"/>
      <c r="DW55" s="397"/>
      <c r="DX55" s="397"/>
      <c r="DY55" s="397"/>
      <c r="DZ55" s="397"/>
      <c r="EA55" s="397"/>
      <c r="EB55" s="397"/>
      <c r="EC55" s="397"/>
      <c r="ED55" s="397"/>
      <c r="EE55" s="397"/>
      <c r="EF55" s="397"/>
      <c r="EG55" s="397"/>
    </row>
    <row r="56" spans="7:137">
      <c r="G56" s="1157"/>
      <c r="H56" s="1155"/>
      <c r="I56" s="1158"/>
      <c r="J56" s="1159"/>
      <c r="L56" s="1159"/>
      <c r="M56" s="1156"/>
      <c r="N56" s="515"/>
      <c r="O56" s="554"/>
      <c r="P56" s="444" t="str">
        <f t="shared" si="5"/>
        <v/>
      </c>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397"/>
      <c r="BJ56" s="397"/>
      <c r="BK56" s="397"/>
      <c r="BL56" s="397"/>
      <c r="BM56" s="397"/>
      <c r="BN56" s="397"/>
      <c r="BO56" s="397"/>
      <c r="BP56" s="397"/>
      <c r="BQ56" s="397"/>
      <c r="BR56" s="397"/>
      <c r="BS56" s="397"/>
      <c r="BT56" s="397"/>
      <c r="BU56" s="397"/>
      <c r="BV56" s="397"/>
      <c r="BW56" s="397"/>
      <c r="BX56" s="397"/>
      <c r="BY56" s="397"/>
      <c r="BZ56" s="397"/>
      <c r="CA56" s="397"/>
      <c r="CB56" s="397"/>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7"/>
      <c r="DR56" s="397"/>
      <c r="DS56" s="397"/>
      <c r="DT56" s="397"/>
      <c r="DU56" s="397"/>
      <c r="DV56" s="397"/>
      <c r="DW56" s="397"/>
      <c r="DX56" s="397"/>
      <c r="DY56" s="397"/>
      <c r="DZ56" s="397"/>
      <c r="EA56" s="397"/>
      <c r="EB56" s="397"/>
      <c r="EC56" s="397"/>
      <c r="ED56" s="397"/>
      <c r="EE56" s="397"/>
      <c r="EF56" s="397"/>
      <c r="EG56" s="397"/>
    </row>
    <row r="57" spans="7:137">
      <c r="G57" s="1157"/>
      <c r="H57" s="1155"/>
      <c r="I57" s="1158"/>
      <c r="J57" s="1159"/>
      <c r="L57" s="1159"/>
      <c r="M57" s="1156"/>
      <c r="N57" s="515"/>
      <c r="O57" s="554"/>
      <c r="P57" s="444" t="str">
        <f t="shared" si="5"/>
        <v/>
      </c>
      <c r="Q57" s="397"/>
      <c r="R57" s="397"/>
      <c r="S57" s="397"/>
      <c r="T57" s="397"/>
      <c r="U57" s="397"/>
      <c r="V57" s="397"/>
      <c r="W57" s="397"/>
      <c r="X57" s="397"/>
      <c r="Y57" s="397"/>
      <c r="Z57" s="397"/>
      <c r="AA57" s="397"/>
      <c r="AB57" s="397"/>
      <c r="AC57" s="397"/>
      <c r="AD57" s="397"/>
      <c r="AE57" s="397"/>
      <c r="AF57" s="397"/>
      <c r="AG57" s="397"/>
      <c r="AH57" s="397"/>
      <c r="AI57" s="397"/>
      <c r="AJ57" s="397"/>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397"/>
      <c r="BJ57" s="397"/>
      <c r="BK57" s="397"/>
      <c r="BL57" s="397"/>
      <c r="BM57" s="397"/>
      <c r="BN57" s="397"/>
      <c r="BO57" s="397"/>
      <c r="BP57" s="397"/>
      <c r="BQ57" s="397"/>
      <c r="BR57" s="397"/>
      <c r="BS57" s="397"/>
      <c r="BT57" s="397"/>
      <c r="BU57" s="397"/>
      <c r="BV57" s="397"/>
      <c r="BW57" s="397"/>
      <c r="BX57" s="397"/>
      <c r="BY57" s="397"/>
      <c r="BZ57" s="397"/>
      <c r="CA57" s="397"/>
      <c r="CB57" s="397"/>
      <c r="CC57" s="397"/>
      <c r="CD57" s="397"/>
      <c r="CE57" s="397"/>
      <c r="CF57" s="397"/>
      <c r="CG57" s="397"/>
      <c r="CH57" s="397"/>
      <c r="CI57" s="397"/>
      <c r="CJ57" s="397"/>
      <c r="CK57" s="397"/>
      <c r="CL57" s="397"/>
      <c r="CM57" s="397"/>
      <c r="CN57" s="397"/>
      <c r="CO57" s="397"/>
      <c r="CP57" s="397"/>
      <c r="CQ57" s="397"/>
      <c r="CR57" s="397"/>
      <c r="CS57" s="397"/>
      <c r="CT57" s="397"/>
      <c r="CU57" s="397"/>
      <c r="CV57" s="397"/>
      <c r="CW57" s="397"/>
      <c r="CX57" s="397"/>
      <c r="CY57" s="397"/>
      <c r="CZ57" s="397"/>
      <c r="DA57" s="397"/>
      <c r="DB57" s="397"/>
      <c r="DC57" s="397"/>
      <c r="DD57" s="397"/>
      <c r="DE57" s="397"/>
      <c r="DF57" s="397"/>
      <c r="DG57" s="397"/>
      <c r="DH57" s="397"/>
      <c r="DI57" s="397"/>
      <c r="DJ57" s="397"/>
      <c r="DK57" s="397"/>
      <c r="DL57" s="397"/>
      <c r="DM57" s="397"/>
      <c r="DN57" s="397"/>
      <c r="DO57" s="397"/>
      <c r="DP57" s="397"/>
      <c r="DQ57" s="397"/>
      <c r="DR57" s="397"/>
      <c r="DS57" s="397"/>
      <c r="DT57" s="397"/>
      <c r="DU57" s="397"/>
      <c r="DV57" s="397"/>
      <c r="DW57" s="397"/>
      <c r="DX57" s="397"/>
      <c r="DY57" s="397"/>
      <c r="DZ57" s="397"/>
      <c r="EA57" s="397"/>
      <c r="EB57" s="397"/>
      <c r="EC57" s="397"/>
      <c r="ED57" s="397"/>
      <c r="EE57" s="397"/>
      <c r="EF57" s="397"/>
      <c r="EG57" s="397"/>
    </row>
    <row r="58" spans="7:137">
      <c r="G58" s="1157"/>
      <c r="H58" s="1155"/>
      <c r="I58" s="1158"/>
      <c r="J58" s="1159"/>
      <c r="L58" s="1159"/>
      <c r="M58" s="1156"/>
      <c r="N58" s="515"/>
      <c r="O58" s="554"/>
      <c r="P58" s="444" t="str">
        <f t="shared" si="5"/>
        <v/>
      </c>
      <c r="Q58" s="397"/>
      <c r="R58" s="397"/>
      <c r="S58" s="397"/>
      <c r="T58" s="397"/>
      <c r="U58" s="397"/>
      <c r="V58" s="397"/>
      <c r="W58" s="397"/>
      <c r="X58" s="397"/>
      <c r="Y58" s="397"/>
      <c r="Z58" s="397"/>
      <c r="AA58" s="397"/>
      <c r="AB58" s="397"/>
      <c r="AC58" s="397"/>
      <c r="AD58" s="397"/>
      <c r="AE58" s="397"/>
      <c r="AF58" s="397"/>
      <c r="AG58" s="397"/>
      <c r="AH58" s="397"/>
      <c r="AI58" s="397"/>
      <c r="AJ58" s="397"/>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397"/>
      <c r="BJ58" s="397"/>
      <c r="BK58" s="397"/>
      <c r="BL58" s="397"/>
      <c r="BM58" s="397"/>
      <c r="BN58" s="397"/>
      <c r="BO58" s="397"/>
      <c r="BP58" s="397"/>
      <c r="BQ58" s="397"/>
      <c r="BR58" s="397"/>
      <c r="BS58" s="397"/>
      <c r="BT58" s="397"/>
      <c r="BU58" s="397"/>
      <c r="BV58" s="397"/>
      <c r="BW58" s="397"/>
      <c r="BX58" s="397"/>
      <c r="BY58" s="397"/>
      <c r="BZ58" s="397"/>
      <c r="CA58" s="397"/>
      <c r="CB58" s="397"/>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c r="DQ58" s="397"/>
      <c r="DR58" s="397"/>
      <c r="DS58" s="397"/>
      <c r="DT58" s="397"/>
      <c r="DU58" s="397"/>
      <c r="DV58" s="397"/>
      <c r="DW58" s="397"/>
      <c r="DX58" s="397"/>
      <c r="DY58" s="397"/>
      <c r="DZ58" s="397"/>
      <c r="EA58" s="397"/>
      <c r="EB58" s="397"/>
      <c r="EC58" s="397"/>
      <c r="ED58" s="397"/>
      <c r="EE58" s="397"/>
      <c r="EF58" s="397"/>
      <c r="EG58" s="397"/>
    </row>
    <row r="59" spans="7:137">
      <c r="G59" s="1157"/>
      <c r="H59" s="1155"/>
      <c r="I59" s="1158"/>
      <c r="J59" s="1159"/>
      <c r="L59" s="1159"/>
      <c r="M59" s="1156"/>
      <c r="N59" s="515"/>
      <c r="O59" s="554"/>
      <c r="P59" s="444" t="str">
        <f t="shared" si="5"/>
        <v/>
      </c>
      <c r="Q59" s="397"/>
      <c r="R59" s="397"/>
      <c r="S59" s="397"/>
      <c r="T59" s="397"/>
      <c r="U59" s="397"/>
      <c r="V59" s="397"/>
      <c r="W59" s="397"/>
      <c r="X59" s="397"/>
      <c r="Y59" s="397"/>
      <c r="Z59" s="397"/>
      <c r="AA59" s="397"/>
      <c r="AB59" s="397"/>
      <c r="AC59" s="397"/>
      <c r="AD59" s="397"/>
      <c r="AE59" s="397"/>
      <c r="AF59" s="397"/>
      <c r="AG59" s="397"/>
      <c r="AH59" s="397"/>
      <c r="AI59" s="397"/>
      <c r="AJ59" s="397"/>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397"/>
      <c r="BJ59" s="397"/>
      <c r="BK59" s="397"/>
      <c r="BL59" s="397"/>
      <c r="BM59" s="397"/>
      <c r="BN59" s="397"/>
      <c r="BO59" s="397"/>
      <c r="BP59" s="397"/>
      <c r="BQ59" s="397"/>
      <c r="BR59" s="397"/>
      <c r="BS59" s="397"/>
      <c r="BT59" s="397"/>
      <c r="BU59" s="397"/>
      <c r="BV59" s="397"/>
      <c r="BW59" s="397"/>
      <c r="BX59" s="397"/>
      <c r="BY59" s="397"/>
      <c r="BZ59" s="397"/>
      <c r="CA59" s="397"/>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c r="DR59" s="397"/>
      <c r="DS59" s="397"/>
      <c r="DT59" s="397"/>
      <c r="DU59" s="397"/>
      <c r="DV59" s="397"/>
      <c r="DW59" s="397"/>
      <c r="DX59" s="397"/>
      <c r="DY59" s="397"/>
      <c r="DZ59" s="397"/>
      <c r="EA59" s="397"/>
      <c r="EB59" s="397"/>
      <c r="EC59" s="397"/>
      <c r="ED59" s="397"/>
      <c r="EE59" s="397"/>
      <c r="EF59" s="397"/>
      <c r="EG59" s="397"/>
    </row>
    <row r="60" spans="7:137">
      <c r="G60" s="1157"/>
      <c r="H60" s="1155"/>
      <c r="I60" s="1158"/>
      <c r="J60" s="1159"/>
      <c r="L60" s="1159"/>
      <c r="M60" s="1156"/>
      <c r="N60" s="515"/>
      <c r="O60" s="554"/>
      <c r="P60" s="444" t="str">
        <f t="shared" si="5"/>
        <v/>
      </c>
      <c r="Q60" s="397"/>
      <c r="R60" s="397"/>
      <c r="S60" s="397"/>
      <c r="T60" s="397"/>
      <c r="U60" s="397"/>
      <c r="V60" s="397"/>
      <c r="W60" s="397"/>
      <c r="X60" s="397"/>
      <c r="Y60" s="397"/>
      <c r="Z60" s="397"/>
      <c r="AA60" s="397"/>
      <c r="AB60" s="397"/>
      <c r="AC60" s="397"/>
      <c r="AD60" s="397"/>
      <c r="AE60" s="397"/>
      <c r="AF60" s="397"/>
      <c r="AG60" s="397"/>
      <c r="AH60" s="397"/>
      <c r="AI60" s="397"/>
      <c r="AJ60" s="397"/>
      <c r="AK60" s="397"/>
      <c r="AL60" s="397"/>
      <c r="AM60" s="397"/>
      <c r="AN60" s="397"/>
      <c r="AO60" s="397"/>
      <c r="AP60" s="397"/>
      <c r="AQ60" s="397"/>
      <c r="AR60" s="397"/>
      <c r="AS60" s="397"/>
      <c r="AT60" s="397"/>
      <c r="AU60" s="397"/>
      <c r="AV60" s="397"/>
      <c r="AW60" s="397"/>
      <c r="AX60" s="397"/>
      <c r="AY60" s="397"/>
      <c r="AZ60" s="397"/>
      <c r="BA60" s="397"/>
      <c r="BB60" s="397"/>
      <c r="BC60" s="397"/>
      <c r="BD60" s="397"/>
      <c r="BE60" s="397"/>
      <c r="BF60" s="397"/>
      <c r="BG60" s="397"/>
      <c r="BH60" s="397"/>
      <c r="BI60" s="397"/>
      <c r="BJ60" s="397"/>
      <c r="BK60" s="397"/>
      <c r="BL60" s="397"/>
      <c r="BM60" s="397"/>
      <c r="BN60" s="397"/>
      <c r="BO60" s="397"/>
      <c r="BP60" s="397"/>
      <c r="BQ60" s="397"/>
      <c r="BR60" s="397"/>
      <c r="BS60" s="397"/>
      <c r="BT60" s="397"/>
      <c r="BU60" s="397"/>
      <c r="BV60" s="397"/>
      <c r="BW60" s="397"/>
      <c r="BX60" s="397"/>
      <c r="BY60" s="397"/>
      <c r="BZ60" s="397"/>
      <c r="CA60" s="397"/>
      <c r="CB60" s="397"/>
      <c r="CC60" s="397"/>
      <c r="CD60" s="397"/>
      <c r="CE60" s="397"/>
      <c r="CF60" s="397"/>
      <c r="CG60" s="397"/>
      <c r="CH60" s="397"/>
      <c r="CI60" s="397"/>
      <c r="CJ60" s="397"/>
      <c r="CK60" s="397"/>
      <c r="CL60" s="397"/>
      <c r="CM60" s="397"/>
      <c r="CN60" s="397"/>
      <c r="CO60" s="397"/>
      <c r="CP60" s="397"/>
      <c r="CQ60" s="397"/>
      <c r="CR60" s="397"/>
      <c r="CS60" s="397"/>
      <c r="CT60" s="397"/>
      <c r="CU60" s="397"/>
      <c r="CV60" s="397"/>
      <c r="CW60" s="397"/>
      <c r="CX60" s="397"/>
      <c r="CY60" s="397"/>
      <c r="CZ60" s="397"/>
      <c r="DA60" s="397"/>
      <c r="DB60" s="397"/>
      <c r="DC60" s="397"/>
      <c r="DD60" s="397"/>
      <c r="DE60" s="397"/>
      <c r="DF60" s="397"/>
      <c r="DG60" s="397"/>
      <c r="DH60" s="397"/>
      <c r="DI60" s="397"/>
      <c r="DJ60" s="397"/>
      <c r="DK60" s="397"/>
      <c r="DL60" s="397"/>
      <c r="DM60" s="397"/>
      <c r="DN60" s="397"/>
      <c r="DO60" s="397"/>
      <c r="DP60" s="397"/>
      <c r="DQ60" s="397"/>
      <c r="DR60" s="397"/>
      <c r="DS60" s="397"/>
      <c r="DT60" s="397"/>
      <c r="DU60" s="397"/>
      <c r="DV60" s="397"/>
      <c r="DW60" s="397"/>
      <c r="DX60" s="397"/>
      <c r="DY60" s="397"/>
      <c r="DZ60" s="397"/>
      <c r="EA60" s="397"/>
      <c r="EB60" s="397"/>
      <c r="EC60" s="397"/>
      <c r="ED60" s="397"/>
      <c r="EE60" s="397"/>
      <c r="EF60" s="397"/>
      <c r="EG60" s="397"/>
    </row>
    <row r="61" spans="7:137">
      <c r="G61" s="1157"/>
      <c r="H61" s="1155"/>
      <c r="I61" s="1158"/>
      <c r="J61" s="1159"/>
      <c r="L61" s="1159"/>
      <c r="M61" s="1156"/>
      <c r="N61" s="515"/>
      <c r="O61" s="554"/>
      <c r="P61" s="444" t="str">
        <f t="shared" si="5"/>
        <v/>
      </c>
      <c r="Q61" s="397"/>
      <c r="R61" s="397"/>
      <c r="S61" s="397"/>
      <c r="T61" s="397"/>
      <c r="U61" s="397"/>
      <c r="V61" s="397"/>
      <c r="W61" s="397"/>
      <c r="X61" s="397"/>
      <c r="Y61" s="397"/>
      <c r="Z61" s="397"/>
      <c r="AA61" s="397"/>
      <c r="AB61" s="397"/>
      <c r="AC61" s="397"/>
      <c r="AD61" s="397"/>
      <c r="AE61" s="397"/>
      <c r="AF61" s="397"/>
      <c r="AG61" s="397"/>
      <c r="AH61" s="397"/>
      <c r="AI61" s="397"/>
      <c r="AJ61" s="397"/>
      <c r="AK61" s="397"/>
      <c r="AL61" s="397"/>
      <c r="AM61" s="397"/>
      <c r="AN61" s="397"/>
      <c r="AO61" s="397"/>
      <c r="AP61" s="397"/>
      <c r="AQ61" s="397"/>
      <c r="AR61" s="397"/>
      <c r="AS61" s="397"/>
      <c r="AT61" s="397"/>
      <c r="AU61" s="397"/>
      <c r="AV61" s="397"/>
      <c r="AW61" s="397"/>
      <c r="AX61" s="397"/>
      <c r="AY61" s="397"/>
      <c r="AZ61" s="397"/>
      <c r="BA61" s="397"/>
      <c r="BB61" s="397"/>
      <c r="BC61" s="397"/>
      <c r="BD61" s="397"/>
      <c r="BE61" s="397"/>
      <c r="BF61" s="397"/>
      <c r="BG61" s="397"/>
      <c r="BH61" s="397"/>
      <c r="BI61" s="397"/>
      <c r="BJ61" s="397"/>
      <c r="BK61" s="397"/>
      <c r="BL61" s="397"/>
      <c r="BM61" s="397"/>
      <c r="BN61" s="397"/>
      <c r="BO61" s="397"/>
      <c r="BP61" s="397"/>
      <c r="BQ61" s="397"/>
      <c r="BR61" s="397"/>
      <c r="BS61" s="397"/>
      <c r="BT61" s="397"/>
      <c r="BU61" s="397"/>
      <c r="BV61" s="397"/>
      <c r="BW61" s="397"/>
      <c r="BX61" s="397"/>
      <c r="BY61" s="397"/>
      <c r="BZ61" s="397"/>
      <c r="CA61" s="397"/>
      <c r="CB61" s="397"/>
      <c r="CC61" s="397"/>
      <c r="CD61" s="397"/>
      <c r="CE61" s="397"/>
      <c r="CF61" s="397"/>
      <c r="CG61" s="397"/>
      <c r="CH61" s="397"/>
      <c r="CI61" s="397"/>
      <c r="CJ61" s="397"/>
      <c r="CK61" s="397"/>
      <c r="CL61" s="397"/>
      <c r="CM61" s="397"/>
      <c r="CN61" s="397"/>
      <c r="CO61" s="397"/>
      <c r="CP61" s="397"/>
      <c r="CQ61" s="397"/>
      <c r="CR61" s="397"/>
      <c r="CS61" s="397"/>
      <c r="CT61" s="397"/>
      <c r="CU61" s="397"/>
      <c r="CV61" s="397"/>
      <c r="CW61" s="397"/>
      <c r="CX61" s="397"/>
      <c r="CY61" s="397"/>
      <c r="CZ61" s="397"/>
      <c r="DA61" s="397"/>
      <c r="DB61" s="397"/>
      <c r="DC61" s="397"/>
      <c r="DD61" s="397"/>
      <c r="DE61" s="397"/>
      <c r="DF61" s="397"/>
      <c r="DG61" s="397"/>
      <c r="DH61" s="397"/>
      <c r="DI61" s="397"/>
      <c r="DJ61" s="397"/>
      <c r="DK61" s="397"/>
      <c r="DL61" s="397"/>
      <c r="DM61" s="397"/>
      <c r="DN61" s="397"/>
      <c r="DO61" s="397"/>
      <c r="DP61" s="397"/>
      <c r="DQ61" s="397"/>
      <c r="DR61" s="397"/>
      <c r="DS61" s="397"/>
      <c r="DT61" s="397"/>
      <c r="DU61" s="397"/>
      <c r="DV61" s="397"/>
      <c r="DW61" s="397"/>
      <c r="DX61" s="397"/>
      <c r="DY61" s="397"/>
      <c r="DZ61" s="397"/>
      <c r="EA61" s="397"/>
      <c r="EB61" s="397"/>
      <c r="EC61" s="397"/>
      <c r="ED61" s="397"/>
      <c r="EE61" s="397"/>
      <c r="EF61" s="397"/>
      <c r="EG61" s="397"/>
    </row>
    <row r="62" spans="7:137">
      <c r="G62" s="1157"/>
      <c r="H62" s="1155"/>
      <c r="I62" s="1158"/>
      <c r="J62" s="1159"/>
      <c r="L62" s="1159"/>
      <c r="M62" s="1156"/>
      <c r="N62" s="515"/>
      <c r="O62" s="554"/>
      <c r="P62" s="444" t="str">
        <f t="shared" si="5"/>
        <v/>
      </c>
      <c r="Q62" s="397"/>
      <c r="R62" s="397"/>
      <c r="S62" s="397"/>
      <c r="T62" s="397"/>
      <c r="U62" s="397"/>
      <c r="V62" s="397"/>
      <c r="W62" s="397"/>
      <c r="X62" s="397"/>
      <c r="Y62" s="397"/>
      <c r="Z62" s="397"/>
      <c r="AA62" s="397"/>
      <c r="AB62" s="397"/>
      <c r="AC62" s="397"/>
      <c r="AD62" s="397"/>
      <c r="AE62" s="397"/>
      <c r="AF62" s="397"/>
      <c r="AG62" s="397"/>
      <c r="AH62" s="397"/>
      <c r="AI62" s="397"/>
      <c r="AJ62" s="397"/>
      <c r="AK62" s="397"/>
      <c r="AL62" s="397"/>
      <c r="AM62" s="397"/>
      <c r="AN62" s="397"/>
      <c r="AO62" s="397"/>
      <c r="AP62" s="397"/>
      <c r="AQ62" s="397"/>
      <c r="AR62" s="397"/>
      <c r="AS62" s="397"/>
      <c r="AT62" s="397"/>
      <c r="AU62" s="397"/>
      <c r="AV62" s="397"/>
      <c r="AW62" s="397"/>
      <c r="AX62" s="397"/>
      <c r="AY62" s="397"/>
      <c r="AZ62" s="397"/>
      <c r="BA62" s="397"/>
      <c r="BB62" s="397"/>
      <c r="BC62" s="397"/>
      <c r="BD62" s="397"/>
      <c r="BE62" s="397"/>
      <c r="BF62" s="397"/>
      <c r="BG62" s="397"/>
      <c r="BH62" s="397"/>
      <c r="BI62" s="397"/>
      <c r="BJ62" s="397"/>
      <c r="BK62" s="397"/>
      <c r="BL62" s="397"/>
      <c r="BM62" s="397"/>
      <c r="BN62" s="397"/>
      <c r="BO62" s="397"/>
      <c r="BP62" s="397"/>
      <c r="BQ62" s="397"/>
      <c r="BR62" s="397"/>
      <c r="BS62" s="397"/>
      <c r="BT62" s="397"/>
      <c r="BU62" s="397"/>
      <c r="BV62" s="397"/>
      <c r="BW62" s="397"/>
      <c r="BX62" s="397"/>
      <c r="BY62" s="397"/>
      <c r="BZ62" s="397"/>
      <c r="CA62" s="397"/>
      <c r="CB62" s="397"/>
      <c r="CC62" s="397"/>
      <c r="CD62" s="397"/>
      <c r="CE62" s="397"/>
      <c r="CF62" s="397"/>
      <c r="CG62" s="397"/>
      <c r="CH62" s="397"/>
      <c r="CI62" s="397"/>
      <c r="CJ62" s="397"/>
      <c r="CK62" s="397"/>
      <c r="CL62" s="397"/>
      <c r="CM62" s="397"/>
      <c r="CN62" s="397"/>
      <c r="CO62" s="397"/>
      <c r="CP62" s="397"/>
      <c r="CQ62" s="397"/>
      <c r="CR62" s="397"/>
      <c r="CS62" s="397"/>
      <c r="CT62" s="397"/>
      <c r="CU62" s="397"/>
      <c r="CV62" s="397"/>
      <c r="CW62" s="397"/>
      <c r="CX62" s="397"/>
      <c r="CY62" s="397"/>
      <c r="CZ62" s="397"/>
      <c r="DA62" s="397"/>
      <c r="DB62" s="397"/>
      <c r="DC62" s="397"/>
      <c r="DD62" s="397"/>
      <c r="DE62" s="397"/>
      <c r="DF62" s="397"/>
      <c r="DG62" s="397"/>
      <c r="DH62" s="397"/>
      <c r="DI62" s="397"/>
      <c r="DJ62" s="397"/>
      <c r="DK62" s="397"/>
      <c r="DL62" s="397"/>
      <c r="DM62" s="397"/>
      <c r="DN62" s="397"/>
      <c r="DO62" s="397"/>
      <c r="DP62" s="397"/>
      <c r="DQ62" s="397"/>
      <c r="DR62" s="397"/>
      <c r="DS62" s="397"/>
      <c r="DT62" s="397"/>
      <c r="DU62" s="397"/>
      <c r="DV62" s="397"/>
      <c r="DW62" s="397"/>
      <c r="DX62" s="397"/>
      <c r="DY62" s="397"/>
      <c r="DZ62" s="397"/>
      <c r="EA62" s="397"/>
      <c r="EB62" s="397"/>
      <c r="EC62" s="397"/>
      <c r="ED62" s="397"/>
      <c r="EE62" s="397"/>
      <c r="EF62" s="397"/>
      <c r="EG62" s="397"/>
    </row>
    <row r="63" spans="7:137">
      <c r="G63" s="1157"/>
      <c r="H63" s="1155"/>
      <c r="I63" s="1158"/>
      <c r="J63" s="1159"/>
      <c r="L63" s="1159"/>
      <c r="M63" s="1156"/>
      <c r="N63" s="515"/>
      <c r="O63" s="554"/>
      <c r="P63" s="444" t="str">
        <f t="shared" si="5"/>
        <v/>
      </c>
      <c r="Q63" s="397"/>
      <c r="R63" s="397"/>
      <c r="S63" s="397"/>
      <c r="T63" s="397"/>
      <c r="U63" s="397"/>
      <c r="V63" s="397"/>
      <c r="W63" s="397"/>
      <c r="X63" s="397"/>
      <c r="Y63" s="397"/>
      <c r="Z63" s="397"/>
      <c r="AA63" s="397"/>
      <c r="AB63" s="397"/>
      <c r="AC63" s="397"/>
      <c r="AD63" s="397"/>
      <c r="AE63" s="397"/>
      <c r="AF63" s="397"/>
      <c r="AG63" s="397"/>
      <c r="AH63" s="397"/>
      <c r="AI63" s="397"/>
      <c r="AJ63" s="397"/>
      <c r="AK63" s="397"/>
      <c r="AL63" s="397"/>
      <c r="AM63" s="397"/>
      <c r="AN63" s="397"/>
      <c r="AO63" s="397"/>
      <c r="AP63" s="397"/>
      <c r="AQ63" s="397"/>
      <c r="AR63" s="397"/>
      <c r="AS63" s="397"/>
      <c r="AT63" s="397"/>
      <c r="AU63" s="397"/>
      <c r="AV63" s="397"/>
      <c r="AW63" s="397"/>
      <c r="AX63" s="397"/>
      <c r="AY63" s="397"/>
      <c r="AZ63" s="397"/>
      <c r="BA63" s="397"/>
      <c r="BB63" s="397"/>
      <c r="BC63" s="397"/>
      <c r="BD63" s="397"/>
      <c r="BE63" s="397"/>
      <c r="BF63" s="397"/>
      <c r="BG63" s="397"/>
      <c r="BH63" s="397"/>
      <c r="BI63" s="397"/>
      <c r="BJ63" s="397"/>
      <c r="BK63" s="397"/>
      <c r="BL63" s="397"/>
      <c r="BM63" s="397"/>
      <c r="BN63" s="397"/>
      <c r="BO63" s="397"/>
      <c r="BP63" s="397"/>
      <c r="BQ63" s="397"/>
      <c r="BR63" s="397"/>
      <c r="BS63" s="397"/>
      <c r="BT63" s="397"/>
      <c r="BU63" s="397"/>
      <c r="BV63" s="397"/>
      <c r="BW63" s="397"/>
      <c r="BX63" s="397"/>
      <c r="BY63" s="397"/>
      <c r="BZ63" s="397"/>
      <c r="CA63" s="397"/>
      <c r="CB63" s="397"/>
      <c r="CC63" s="397"/>
      <c r="CD63" s="397"/>
      <c r="CE63" s="397"/>
      <c r="CF63" s="397"/>
      <c r="CG63" s="397"/>
      <c r="CH63" s="397"/>
      <c r="CI63" s="397"/>
      <c r="CJ63" s="397"/>
      <c r="CK63" s="397"/>
      <c r="CL63" s="397"/>
      <c r="CM63" s="397"/>
      <c r="CN63" s="397"/>
      <c r="CO63" s="397"/>
      <c r="CP63" s="397"/>
      <c r="CQ63" s="397"/>
      <c r="CR63" s="397"/>
      <c r="CS63" s="397"/>
      <c r="CT63" s="397"/>
      <c r="CU63" s="397"/>
      <c r="CV63" s="397"/>
      <c r="CW63" s="397"/>
      <c r="CX63" s="397"/>
      <c r="CY63" s="397"/>
      <c r="CZ63" s="397"/>
      <c r="DA63" s="397"/>
      <c r="DB63" s="397"/>
      <c r="DC63" s="397"/>
      <c r="DD63" s="397"/>
      <c r="DE63" s="397"/>
      <c r="DF63" s="397"/>
      <c r="DG63" s="397"/>
      <c r="DH63" s="397"/>
      <c r="DI63" s="397"/>
      <c r="DJ63" s="397"/>
      <c r="DK63" s="397"/>
      <c r="DL63" s="397"/>
      <c r="DM63" s="397"/>
      <c r="DN63" s="397"/>
      <c r="DO63" s="397"/>
      <c r="DP63" s="397"/>
      <c r="DQ63" s="397"/>
      <c r="DR63" s="397"/>
      <c r="DS63" s="397"/>
      <c r="DT63" s="397"/>
      <c r="DU63" s="397"/>
      <c r="DV63" s="397"/>
      <c r="DW63" s="397"/>
      <c r="DX63" s="397"/>
      <c r="DY63" s="397"/>
      <c r="DZ63" s="397"/>
      <c r="EA63" s="397"/>
      <c r="EB63" s="397"/>
      <c r="EC63" s="397"/>
      <c r="ED63" s="397"/>
      <c r="EE63" s="397"/>
      <c r="EF63" s="397"/>
      <c r="EG63" s="397"/>
    </row>
    <row r="64" spans="7:137">
      <c r="G64" s="1157"/>
      <c r="H64" s="1155"/>
      <c r="I64" s="1158"/>
      <c r="J64" s="1159"/>
      <c r="L64" s="1159"/>
      <c r="M64" s="1156"/>
      <c r="N64" s="515"/>
      <c r="O64" s="554"/>
      <c r="P64" s="444" t="str">
        <f t="shared" si="5"/>
        <v/>
      </c>
      <c r="Q64" s="397"/>
      <c r="R64" s="397"/>
      <c r="S64" s="397"/>
      <c r="T64" s="397"/>
      <c r="U64" s="397"/>
      <c r="V64" s="397"/>
      <c r="W64" s="397"/>
      <c r="X64" s="397"/>
      <c r="Y64" s="397"/>
      <c r="Z64" s="397"/>
      <c r="AA64" s="397"/>
      <c r="AB64" s="397"/>
      <c r="AC64" s="397"/>
      <c r="AD64" s="397"/>
      <c r="AE64" s="397"/>
      <c r="AF64" s="397"/>
      <c r="AG64" s="397"/>
      <c r="AH64" s="397"/>
      <c r="AI64" s="397"/>
      <c r="AJ64" s="397"/>
      <c r="AK64" s="397"/>
      <c r="AL64" s="397"/>
      <c r="AM64" s="397"/>
      <c r="AN64" s="397"/>
      <c r="AO64" s="397"/>
      <c r="AP64" s="397"/>
      <c r="AQ64" s="397"/>
      <c r="AR64" s="397"/>
      <c r="AS64" s="397"/>
      <c r="AT64" s="397"/>
      <c r="AU64" s="397"/>
      <c r="AV64" s="397"/>
      <c r="AW64" s="397"/>
      <c r="AX64" s="397"/>
      <c r="AY64" s="397"/>
      <c r="AZ64" s="397"/>
      <c r="BA64" s="397"/>
      <c r="BB64" s="397"/>
      <c r="BC64" s="397"/>
      <c r="BD64" s="397"/>
      <c r="BE64" s="397"/>
      <c r="BF64" s="397"/>
      <c r="BG64" s="397"/>
      <c r="BH64" s="397"/>
      <c r="BI64" s="397"/>
      <c r="BJ64" s="397"/>
      <c r="BK64" s="397"/>
      <c r="BL64" s="397"/>
      <c r="BM64" s="397"/>
      <c r="BN64" s="397"/>
      <c r="BO64" s="397"/>
      <c r="BP64" s="397"/>
      <c r="BQ64" s="397"/>
      <c r="BR64" s="397"/>
      <c r="BS64" s="397"/>
      <c r="BT64" s="397"/>
      <c r="BU64" s="397"/>
      <c r="BV64" s="397"/>
      <c r="BW64" s="397"/>
      <c r="BX64" s="397"/>
      <c r="BY64" s="397"/>
      <c r="BZ64" s="397"/>
      <c r="CA64" s="397"/>
      <c r="CB64" s="397"/>
      <c r="CC64" s="397"/>
      <c r="CD64" s="397"/>
      <c r="CE64" s="397"/>
      <c r="CF64" s="397"/>
      <c r="CG64" s="397"/>
      <c r="CH64" s="397"/>
      <c r="CI64" s="397"/>
      <c r="CJ64" s="397"/>
      <c r="CK64" s="397"/>
      <c r="CL64" s="397"/>
      <c r="CM64" s="397"/>
      <c r="CN64" s="397"/>
      <c r="CO64" s="397"/>
      <c r="CP64" s="397"/>
      <c r="CQ64" s="397"/>
      <c r="CR64" s="397"/>
      <c r="CS64" s="397"/>
      <c r="CT64" s="397"/>
      <c r="CU64" s="397"/>
      <c r="CV64" s="397"/>
      <c r="CW64" s="397"/>
      <c r="CX64" s="397"/>
      <c r="CY64" s="397"/>
      <c r="CZ64" s="397"/>
      <c r="DA64" s="397"/>
      <c r="DB64" s="397"/>
      <c r="DC64" s="397"/>
      <c r="DD64" s="397"/>
      <c r="DE64" s="397"/>
      <c r="DF64" s="397"/>
      <c r="DG64" s="397"/>
      <c r="DH64" s="397"/>
      <c r="DI64" s="397"/>
      <c r="DJ64" s="397"/>
      <c r="DK64" s="397"/>
      <c r="DL64" s="397"/>
      <c r="DM64" s="397"/>
      <c r="DN64" s="397"/>
      <c r="DO64" s="397"/>
      <c r="DP64" s="397"/>
      <c r="DQ64" s="397"/>
      <c r="DR64" s="397"/>
      <c r="DS64" s="397"/>
      <c r="DT64" s="397"/>
      <c r="DU64" s="397"/>
      <c r="DV64" s="397"/>
      <c r="DW64" s="397"/>
      <c r="DX64" s="397"/>
      <c r="DY64" s="397"/>
      <c r="DZ64" s="397"/>
      <c r="EA64" s="397"/>
      <c r="EB64" s="397"/>
      <c r="EC64" s="397"/>
      <c r="ED64" s="397"/>
      <c r="EE64" s="397"/>
      <c r="EF64" s="397"/>
      <c r="EG64" s="397"/>
    </row>
    <row r="65" spans="7:137">
      <c r="G65" s="1157"/>
      <c r="H65" s="1155"/>
      <c r="I65" s="1158"/>
      <c r="J65" s="1159"/>
      <c r="L65" s="1159"/>
      <c r="M65" s="1156"/>
      <c r="N65" s="515"/>
      <c r="O65" s="554"/>
      <c r="P65" s="444" t="str">
        <f t="shared" si="5"/>
        <v/>
      </c>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397"/>
      <c r="BA65" s="397"/>
      <c r="BB65" s="397"/>
      <c r="BC65" s="397"/>
      <c r="BD65" s="397"/>
      <c r="BE65" s="397"/>
      <c r="BF65" s="397"/>
      <c r="BG65" s="397"/>
      <c r="BH65" s="397"/>
      <c r="BI65" s="397"/>
      <c r="BJ65" s="397"/>
      <c r="BK65" s="397"/>
      <c r="BL65" s="397"/>
      <c r="BM65" s="397"/>
      <c r="BN65" s="397"/>
      <c r="BO65" s="397"/>
      <c r="BP65" s="397"/>
      <c r="BQ65" s="397"/>
      <c r="BR65" s="397"/>
      <c r="BS65" s="397"/>
      <c r="BT65" s="397"/>
      <c r="BU65" s="397"/>
      <c r="BV65" s="397"/>
      <c r="BW65" s="397"/>
      <c r="BX65" s="397"/>
      <c r="BY65" s="397"/>
      <c r="BZ65" s="397"/>
      <c r="CA65" s="397"/>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c r="DR65" s="397"/>
      <c r="DS65" s="397"/>
      <c r="DT65" s="397"/>
      <c r="DU65" s="397"/>
      <c r="DV65" s="397"/>
      <c r="DW65" s="397"/>
      <c r="DX65" s="397"/>
      <c r="DY65" s="397"/>
      <c r="DZ65" s="397"/>
      <c r="EA65" s="397"/>
      <c r="EB65" s="397"/>
      <c r="EC65" s="397"/>
      <c r="ED65" s="397"/>
      <c r="EE65" s="397"/>
      <c r="EF65" s="397"/>
      <c r="EG65" s="397"/>
    </row>
    <row r="66" spans="7:137">
      <c r="G66" s="1157"/>
      <c r="H66" s="1155"/>
      <c r="I66" s="1158"/>
      <c r="J66" s="1159"/>
      <c r="L66" s="1159"/>
      <c r="M66" s="1156"/>
      <c r="N66" s="515"/>
      <c r="O66" s="554"/>
      <c r="P66" s="444" t="str">
        <f t="shared" si="5"/>
        <v/>
      </c>
      <c r="Q66" s="397"/>
      <c r="R66" s="397"/>
      <c r="S66" s="397"/>
      <c r="T66" s="397"/>
      <c r="U66" s="397"/>
      <c r="V66" s="397"/>
      <c r="W66" s="397"/>
      <c r="X66" s="397"/>
      <c r="Y66" s="397"/>
      <c r="Z66" s="397"/>
      <c r="AA66" s="397"/>
      <c r="AB66" s="397"/>
      <c r="AC66" s="397"/>
      <c r="AD66" s="397"/>
      <c r="AE66" s="397"/>
      <c r="AF66" s="397"/>
      <c r="AG66" s="397"/>
      <c r="AH66" s="397"/>
      <c r="AI66" s="397"/>
      <c r="AJ66" s="397"/>
      <c r="AK66" s="397"/>
      <c r="AL66" s="397"/>
      <c r="AM66" s="397"/>
      <c r="AN66" s="397"/>
      <c r="AO66" s="397"/>
      <c r="AP66" s="397"/>
      <c r="AQ66" s="397"/>
      <c r="AR66" s="397"/>
      <c r="AS66" s="397"/>
      <c r="AT66" s="397"/>
      <c r="AU66" s="397"/>
      <c r="AV66" s="397"/>
      <c r="AW66" s="397"/>
      <c r="AX66" s="397"/>
      <c r="AY66" s="397"/>
      <c r="AZ66" s="397"/>
      <c r="BA66" s="397"/>
      <c r="BB66" s="397"/>
      <c r="BC66" s="397"/>
      <c r="BD66" s="397"/>
      <c r="BE66" s="397"/>
      <c r="BF66" s="397"/>
      <c r="BG66" s="397"/>
      <c r="BH66" s="397"/>
      <c r="BI66" s="397"/>
      <c r="BJ66" s="397"/>
      <c r="BK66" s="397"/>
      <c r="BL66" s="397"/>
      <c r="BM66" s="397"/>
      <c r="BN66" s="397"/>
      <c r="BO66" s="397"/>
      <c r="BP66" s="397"/>
      <c r="BQ66" s="397"/>
      <c r="BR66" s="397"/>
      <c r="BS66" s="397"/>
      <c r="BT66" s="397"/>
      <c r="BU66" s="397"/>
      <c r="BV66" s="397"/>
      <c r="BW66" s="397"/>
      <c r="BX66" s="397"/>
      <c r="BY66" s="397"/>
      <c r="BZ66" s="397"/>
      <c r="CA66" s="397"/>
      <c r="CB66" s="397"/>
      <c r="CC66" s="397"/>
      <c r="CD66" s="397"/>
      <c r="CE66" s="397"/>
      <c r="CF66" s="397"/>
      <c r="CG66" s="397"/>
      <c r="CH66" s="397"/>
      <c r="CI66" s="397"/>
      <c r="CJ66" s="397"/>
      <c r="CK66" s="397"/>
      <c r="CL66" s="397"/>
      <c r="CM66" s="397"/>
      <c r="CN66" s="397"/>
      <c r="CO66" s="397"/>
      <c r="CP66" s="397"/>
      <c r="CQ66" s="397"/>
      <c r="CR66" s="397"/>
      <c r="CS66" s="397"/>
      <c r="CT66" s="397"/>
      <c r="CU66" s="397"/>
      <c r="CV66" s="397"/>
      <c r="CW66" s="397"/>
      <c r="CX66" s="397"/>
      <c r="CY66" s="397"/>
      <c r="CZ66" s="397"/>
      <c r="DA66" s="397"/>
      <c r="DB66" s="397"/>
      <c r="DC66" s="397"/>
      <c r="DD66" s="397"/>
      <c r="DE66" s="397"/>
      <c r="DF66" s="397"/>
      <c r="DG66" s="397"/>
      <c r="DH66" s="397"/>
      <c r="DI66" s="397"/>
      <c r="DJ66" s="397"/>
      <c r="DK66" s="397"/>
      <c r="DL66" s="397"/>
      <c r="DM66" s="397"/>
      <c r="DN66" s="397"/>
      <c r="DO66" s="397"/>
      <c r="DP66" s="397"/>
      <c r="DQ66" s="397"/>
      <c r="DR66" s="397"/>
      <c r="DS66" s="397"/>
      <c r="DT66" s="397"/>
      <c r="DU66" s="397"/>
      <c r="DV66" s="397"/>
      <c r="DW66" s="397"/>
      <c r="DX66" s="397"/>
      <c r="DY66" s="397"/>
      <c r="DZ66" s="397"/>
      <c r="EA66" s="397"/>
      <c r="EB66" s="397"/>
      <c r="EC66" s="397"/>
      <c r="ED66" s="397"/>
      <c r="EE66" s="397"/>
      <c r="EF66" s="397"/>
      <c r="EG66" s="397"/>
    </row>
    <row r="67" spans="7:137">
      <c r="G67" s="1157"/>
      <c r="H67" s="1155"/>
      <c r="I67" s="1158"/>
      <c r="J67" s="1159"/>
      <c r="L67" s="1159"/>
      <c r="M67" s="1156"/>
      <c r="N67" s="515"/>
      <c r="O67" s="554"/>
      <c r="P67" s="444" t="str">
        <f t="shared" si="5"/>
        <v/>
      </c>
      <c r="Q67" s="397"/>
      <c r="R67" s="397"/>
      <c r="S67" s="397"/>
      <c r="T67" s="397"/>
      <c r="U67" s="397"/>
      <c r="V67" s="397"/>
      <c r="W67" s="397"/>
      <c r="X67" s="397"/>
      <c r="Y67" s="397"/>
      <c r="Z67" s="397"/>
      <c r="AA67" s="397"/>
      <c r="AB67" s="397"/>
      <c r="AC67" s="397"/>
      <c r="AD67" s="397"/>
      <c r="AE67" s="397"/>
      <c r="AF67" s="397"/>
      <c r="AG67" s="397"/>
      <c r="AH67" s="397"/>
      <c r="AI67" s="397"/>
      <c r="AJ67" s="397"/>
      <c r="AK67" s="397"/>
      <c r="AL67" s="397"/>
      <c r="AM67" s="397"/>
      <c r="AN67" s="397"/>
      <c r="AO67" s="397"/>
      <c r="AP67" s="397"/>
      <c r="AQ67" s="397"/>
      <c r="AR67" s="397"/>
      <c r="AS67" s="397"/>
      <c r="AT67" s="397"/>
      <c r="AU67" s="397"/>
      <c r="AV67" s="397"/>
      <c r="AW67" s="397"/>
      <c r="AX67" s="397"/>
      <c r="AY67" s="397"/>
      <c r="AZ67" s="397"/>
      <c r="BA67" s="397"/>
      <c r="BB67" s="397"/>
      <c r="BC67" s="397"/>
      <c r="BD67" s="397"/>
      <c r="BE67" s="397"/>
      <c r="BF67" s="397"/>
      <c r="BG67" s="397"/>
      <c r="BH67" s="397"/>
      <c r="BI67" s="397"/>
      <c r="BJ67" s="397"/>
      <c r="BK67" s="397"/>
      <c r="BL67" s="397"/>
      <c r="BM67" s="397"/>
      <c r="BN67" s="397"/>
      <c r="BO67" s="397"/>
      <c r="BP67" s="397"/>
      <c r="BQ67" s="397"/>
      <c r="BR67" s="397"/>
      <c r="BS67" s="397"/>
      <c r="BT67" s="397"/>
      <c r="BU67" s="397"/>
      <c r="BV67" s="397"/>
      <c r="BW67" s="397"/>
      <c r="BX67" s="397"/>
      <c r="BY67" s="397"/>
      <c r="BZ67" s="397"/>
      <c r="CA67" s="397"/>
      <c r="CB67" s="397"/>
      <c r="CC67" s="397"/>
      <c r="CD67" s="397"/>
      <c r="CE67" s="397"/>
      <c r="CF67" s="397"/>
      <c r="CG67" s="397"/>
      <c r="CH67" s="397"/>
      <c r="CI67" s="397"/>
      <c r="CJ67" s="397"/>
      <c r="CK67" s="397"/>
      <c r="CL67" s="397"/>
      <c r="CM67" s="397"/>
      <c r="CN67" s="397"/>
      <c r="CO67" s="397"/>
      <c r="CP67" s="397"/>
      <c r="CQ67" s="397"/>
      <c r="CR67" s="397"/>
      <c r="CS67" s="397"/>
      <c r="CT67" s="397"/>
      <c r="CU67" s="397"/>
      <c r="CV67" s="397"/>
      <c r="CW67" s="397"/>
      <c r="CX67" s="397"/>
      <c r="CY67" s="397"/>
      <c r="CZ67" s="397"/>
      <c r="DA67" s="397"/>
      <c r="DB67" s="397"/>
      <c r="DC67" s="397"/>
      <c r="DD67" s="397"/>
      <c r="DE67" s="397"/>
      <c r="DF67" s="397"/>
      <c r="DG67" s="397"/>
      <c r="DH67" s="397"/>
      <c r="DI67" s="397"/>
      <c r="DJ67" s="397"/>
      <c r="DK67" s="397"/>
      <c r="DL67" s="397"/>
      <c r="DM67" s="397"/>
      <c r="DN67" s="397"/>
      <c r="DO67" s="397"/>
      <c r="DP67" s="397"/>
      <c r="DQ67" s="397"/>
      <c r="DR67" s="397"/>
      <c r="DS67" s="397"/>
      <c r="DT67" s="397"/>
      <c r="DU67" s="397"/>
      <c r="DV67" s="397"/>
      <c r="DW67" s="397"/>
      <c r="DX67" s="397"/>
      <c r="DY67" s="397"/>
      <c r="DZ67" s="397"/>
      <c r="EA67" s="397"/>
      <c r="EB67" s="397"/>
      <c r="EC67" s="397"/>
      <c r="ED67" s="397"/>
      <c r="EE67" s="397"/>
      <c r="EF67" s="397"/>
      <c r="EG67" s="397"/>
    </row>
    <row r="68" spans="7:137">
      <c r="G68" s="1157"/>
      <c r="H68" s="1155"/>
      <c r="I68" s="1158"/>
      <c r="J68" s="1159"/>
      <c r="L68" s="1159"/>
      <c r="M68" s="1156"/>
      <c r="N68" s="515"/>
      <c r="O68" s="554"/>
      <c r="P68" s="444" t="str">
        <f t="shared" si="5"/>
        <v/>
      </c>
      <c r="Q68" s="397"/>
      <c r="R68" s="397"/>
      <c r="S68" s="397"/>
      <c r="T68" s="397"/>
      <c r="U68" s="397"/>
      <c r="V68" s="397"/>
      <c r="W68" s="397"/>
      <c r="X68" s="397"/>
      <c r="Y68" s="397"/>
      <c r="Z68" s="397"/>
      <c r="AA68" s="397"/>
      <c r="AB68" s="397"/>
      <c r="AC68" s="397"/>
      <c r="AD68" s="397"/>
      <c r="AE68" s="397"/>
      <c r="AF68" s="397"/>
      <c r="AG68" s="397"/>
      <c r="AH68" s="397"/>
      <c r="AI68" s="397"/>
      <c r="AJ68" s="397"/>
      <c r="AK68" s="397"/>
      <c r="AL68" s="397"/>
      <c r="AM68" s="397"/>
      <c r="AN68" s="397"/>
      <c r="AO68" s="397"/>
      <c r="AP68" s="397"/>
      <c r="AQ68" s="397"/>
      <c r="AR68" s="397"/>
      <c r="AS68" s="397"/>
      <c r="AT68" s="397"/>
      <c r="AU68" s="397"/>
      <c r="AV68" s="397"/>
      <c r="AW68" s="397"/>
      <c r="AX68" s="397"/>
      <c r="AY68" s="397"/>
      <c r="AZ68" s="397"/>
      <c r="BA68" s="397"/>
      <c r="BB68" s="397"/>
      <c r="BC68" s="397"/>
      <c r="BD68" s="397"/>
      <c r="BE68" s="397"/>
      <c r="BF68" s="397"/>
      <c r="BG68" s="397"/>
      <c r="BH68" s="397"/>
      <c r="BI68" s="397"/>
      <c r="BJ68" s="397"/>
      <c r="BK68" s="397"/>
      <c r="BL68" s="397"/>
      <c r="BM68" s="397"/>
      <c r="BN68" s="397"/>
      <c r="BO68" s="397"/>
      <c r="BP68" s="397"/>
      <c r="BQ68" s="397"/>
      <c r="BR68" s="397"/>
      <c r="BS68" s="397"/>
      <c r="BT68" s="397"/>
      <c r="BU68" s="397"/>
      <c r="BV68" s="397"/>
      <c r="BW68" s="397"/>
      <c r="BX68" s="397"/>
      <c r="BY68" s="397"/>
      <c r="BZ68" s="397"/>
      <c r="CA68" s="397"/>
      <c r="CB68" s="397"/>
      <c r="CC68" s="397"/>
      <c r="CD68" s="397"/>
      <c r="CE68" s="397"/>
      <c r="CF68" s="397"/>
      <c r="CG68" s="397"/>
      <c r="CH68" s="397"/>
      <c r="CI68" s="397"/>
      <c r="CJ68" s="397"/>
      <c r="CK68" s="397"/>
      <c r="CL68" s="397"/>
      <c r="CM68" s="397"/>
      <c r="CN68" s="397"/>
      <c r="CO68" s="397"/>
      <c r="CP68" s="397"/>
      <c r="CQ68" s="397"/>
      <c r="CR68" s="397"/>
      <c r="CS68" s="397"/>
      <c r="CT68" s="397"/>
      <c r="CU68" s="397"/>
      <c r="CV68" s="397"/>
      <c r="CW68" s="397"/>
      <c r="CX68" s="397"/>
      <c r="CY68" s="397"/>
      <c r="CZ68" s="397"/>
      <c r="DA68" s="397"/>
      <c r="DB68" s="397"/>
      <c r="DC68" s="397"/>
      <c r="DD68" s="397"/>
      <c r="DE68" s="397"/>
      <c r="DF68" s="397"/>
      <c r="DG68" s="397"/>
      <c r="DH68" s="397"/>
      <c r="DI68" s="397"/>
      <c r="DJ68" s="397"/>
      <c r="DK68" s="397"/>
      <c r="DL68" s="397"/>
      <c r="DM68" s="397"/>
      <c r="DN68" s="397"/>
      <c r="DO68" s="397"/>
      <c r="DP68" s="397"/>
      <c r="DQ68" s="397"/>
      <c r="DR68" s="397"/>
      <c r="DS68" s="397"/>
      <c r="DT68" s="397"/>
      <c r="DU68" s="397"/>
      <c r="DV68" s="397"/>
      <c r="DW68" s="397"/>
      <c r="DX68" s="397"/>
      <c r="DY68" s="397"/>
      <c r="DZ68" s="397"/>
      <c r="EA68" s="397"/>
      <c r="EB68" s="397"/>
      <c r="EC68" s="397"/>
      <c r="ED68" s="397"/>
      <c r="EE68" s="397"/>
      <c r="EF68" s="397"/>
      <c r="EG68" s="397"/>
    </row>
    <row r="69" spans="7:137">
      <c r="G69" s="1157"/>
      <c r="H69" s="1155"/>
      <c r="I69" s="1158"/>
      <c r="J69" s="1159"/>
      <c r="L69" s="1159"/>
      <c r="M69" s="1156"/>
      <c r="N69" s="515"/>
      <c r="O69" s="554"/>
      <c r="P69" s="444" t="str">
        <f t="shared" si="5"/>
        <v/>
      </c>
      <c r="Q69" s="397"/>
      <c r="R69" s="397"/>
      <c r="S69" s="397"/>
      <c r="T69" s="397"/>
      <c r="U69" s="397"/>
      <c r="V69" s="397"/>
      <c r="W69" s="397"/>
      <c r="X69" s="397"/>
      <c r="Y69" s="397"/>
      <c r="Z69" s="397"/>
      <c r="AA69" s="397"/>
      <c r="AB69" s="397"/>
      <c r="AC69" s="397"/>
      <c r="AD69" s="397"/>
      <c r="AE69" s="397"/>
      <c r="AF69" s="397"/>
      <c r="AG69" s="397"/>
      <c r="AH69" s="397"/>
      <c r="AI69" s="397"/>
      <c r="AJ69" s="397"/>
      <c r="AK69" s="397"/>
      <c r="AL69" s="397"/>
      <c r="AM69" s="397"/>
      <c r="AN69" s="397"/>
      <c r="AO69" s="397"/>
      <c r="AP69" s="397"/>
      <c r="AQ69" s="397"/>
      <c r="AR69" s="397"/>
      <c r="AS69" s="397"/>
      <c r="AT69" s="397"/>
      <c r="AU69" s="397"/>
      <c r="AV69" s="397"/>
      <c r="AW69" s="397"/>
      <c r="AX69" s="397"/>
      <c r="AY69" s="397"/>
      <c r="AZ69" s="397"/>
      <c r="BA69" s="397"/>
      <c r="BB69" s="397"/>
      <c r="BC69" s="397"/>
      <c r="BD69" s="397"/>
      <c r="BE69" s="397"/>
      <c r="BF69" s="397"/>
      <c r="BG69" s="397"/>
      <c r="BH69" s="397"/>
      <c r="BI69" s="397"/>
      <c r="BJ69" s="397"/>
      <c r="BK69" s="397"/>
      <c r="BL69" s="397"/>
      <c r="BM69" s="397"/>
      <c r="BN69" s="397"/>
      <c r="BO69" s="397"/>
      <c r="BP69" s="397"/>
      <c r="BQ69" s="397"/>
      <c r="BR69" s="397"/>
      <c r="BS69" s="397"/>
      <c r="BT69" s="397"/>
      <c r="BU69" s="397"/>
      <c r="BV69" s="397"/>
      <c r="BW69" s="397"/>
      <c r="BX69" s="397"/>
      <c r="BY69" s="397"/>
      <c r="BZ69" s="397"/>
      <c r="CA69" s="397"/>
      <c r="CB69" s="397"/>
      <c r="CC69" s="397"/>
      <c r="CD69" s="397"/>
      <c r="CE69" s="397"/>
      <c r="CF69" s="397"/>
      <c r="CG69" s="397"/>
      <c r="CH69" s="397"/>
      <c r="CI69" s="397"/>
      <c r="CJ69" s="397"/>
      <c r="CK69" s="397"/>
      <c r="CL69" s="397"/>
      <c r="CM69" s="397"/>
      <c r="CN69" s="397"/>
      <c r="CO69" s="397"/>
      <c r="CP69" s="397"/>
      <c r="CQ69" s="397"/>
      <c r="CR69" s="397"/>
      <c r="CS69" s="397"/>
      <c r="CT69" s="397"/>
      <c r="CU69" s="397"/>
      <c r="CV69" s="397"/>
      <c r="CW69" s="397"/>
      <c r="CX69" s="397"/>
      <c r="CY69" s="397"/>
      <c r="CZ69" s="397"/>
      <c r="DA69" s="397"/>
      <c r="DB69" s="397"/>
      <c r="DC69" s="397"/>
      <c r="DD69" s="397"/>
      <c r="DE69" s="397"/>
      <c r="DF69" s="397"/>
      <c r="DG69" s="397"/>
      <c r="DH69" s="397"/>
      <c r="DI69" s="397"/>
      <c r="DJ69" s="397"/>
      <c r="DK69" s="397"/>
      <c r="DL69" s="397"/>
      <c r="DM69" s="397"/>
      <c r="DN69" s="397"/>
      <c r="DO69" s="397"/>
      <c r="DP69" s="397"/>
      <c r="DQ69" s="397"/>
      <c r="DR69" s="397"/>
      <c r="DS69" s="397"/>
      <c r="DT69" s="397"/>
      <c r="DU69" s="397"/>
      <c r="DV69" s="397"/>
      <c r="DW69" s="397"/>
      <c r="DX69" s="397"/>
      <c r="DY69" s="397"/>
      <c r="DZ69" s="397"/>
      <c r="EA69" s="397"/>
      <c r="EB69" s="397"/>
      <c r="EC69" s="397"/>
      <c r="ED69" s="397"/>
      <c r="EE69" s="397"/>
      <c r="EF69" s="397"/>
      <c r="EG69" s="397"/>
    </row>
    <row r="70" spans="7:137">
      <c r="G70" s="1157"/>
      <c r="H70" s="1155"/>
      <c r="I70" s="1158"/>
      <c r="J70" s="1159"/>
      <c r="L70" s="1159"/>
      <c r="M70" s="1156"/>
      <c r="N70" s="515"/>
      <c r="O70" s="554"/>
      <c r="P70" s="444" t="str">
        <f t="shared" si="5"/>
        <v/>
      </c>
      <c r="Q70" s="397"/>
      <c r="R70" s="397"/>
      <c r="S70" s="397"/>
      <c r="T70" s="397"/>
      <c r="U70" s="397"/>
      <c r="V70" s="397"/>
      <c r="W70" s="397"/>
      <c r="X70" s="397"/>
      <c r="Y70" s="397"/>
      <c r="Z70" s="397"/>
      <c r="AA70" s="397"/>
      <c r="AB70" s="397"/>
      <c r="AC70" s="397"/>
      <c r="AD70" s="397"/>
      <c r="AE70" s="397"/>
      <c r="AF70" s="397"/>
      <c r="AG70" s="397"/>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c r="BH70" s="397"/>
      <c r="BI70" s="397"/>
      <c r="BJ70" s="397"/>
      <c r="BK70" s="397"/>
      <c r="BL70" s="397"/>
      <c r="BM70" s="397"/>
      <c r="BN70" s="397"/>
      <c r="BO70" s="397"/>
      <c r="BP70" s="397"/>
      <c r="BQ70" s="397"/>
      <c r="BR70" s="397"/>
      <c r="BS70" s="397"/>
      <c r="BT70" s="397"/>
      <c r="BU70" s="397"/>
      <c r="BV70" s="397"/>
      <c r="BW70" s="397"/>
      <c r="BX70" s="397"/>
      <c r="BY70" s="397"/>
      <c r="BZ70" s="397"/>
      <c r="CA70" s="397"/>
      <c r="CB70" s="397"/>
      <c r="CC70" s="397"/>
      <c r="CD70" s="397"/>
      <c r="CE70" s="397"/>
      <c r="CF70" s="397"/>
      <c r="CG70" s="397"/>
      <c r="CH70" s="397"/>
      <c r="CI70" s="397"/>
      <c r="CJ70" s="397"/>
      <c r="CK70" s="397"/>
      <c r="CL70" s="397"/>
      <c r="CM70" s="397"/>
      <c r="CN70" s="397"/>
      <c r="CO70" s="397"/>
      <c r="CP70" s="397"/>
      <c r="CQ70" s="397"/>
      <c r="CR70" s="397"/>
      <c r="CS70" s="397"/>
      <c r="CT70" s="397"/>
      <c r="CU70" s="397"/>
      <c r="CV70" s="397"/>
      <c r="CW70" s="397"/>
      <c r="CX70" s="397"/>
      <c r="CY70" s="397"/>
      <c r="CZ70" s="397"/>
      <c r="DA70" s="397"/>
      <c r="DB70" s="397"/>
      <c r="DC70" s="397"/>
      <c r="DD70" s="397"/>
      <c r="DE70" s="397"/>
      <c r="DF70" s="397"/>
      <c r="DG70" s="397"/>
      <c r="DH70" s="397"/>
      <c r="DI70" s="397"/>
      <c r="DJ70" s="397"/>
      <c r="DK70" s="397"/>
      <c r="DL70" s="397"/>
      <c r="DM70" s="397"/>
      <c r="DN70" s="397"/>
      <c r="DO70" s="397"/>
      <c r="DP70" s="397"/>
      <c r="DQ70" s="397"/>
      <c r="DR70" s="397"/>
      <c r="DS70" s="397"/>
      <c r="DT70" s="397"/>
      <c r="DU70" s="397"/>
      <c r="DV70" s="397"/>
      <c r="DW70" s="397"/>
      <c r="DX70" s="397"/>
      <c r="DY70" s="397"/>
      <c r="DZ70" s="397"/>
      <c r="EA70" s="397"/>
      <c r="EB70" s="397"/>
      <c r="EC70" s="397"/>
      <c r="ED70" s="397"/>
      <c r="EE70" s="397"/>
      <c r="EF70" s="397"/>
      <c r="EG70" s="397"/>
    </row>
    <row r="71" spans="7:137">
      <c r="G71" s="1157"/>
      <c r="H71" s="1155"/>
      <c r="I71" s="1158"/>
      <c r="J71" s="1159"/>
      <c r="L71" s="1159"/>
      <c r="M71" s="1156"/>
      <c r="N71" s="515"/>
      <c r="O71" s="554"/>
      <c r="P71" s="444" t="str">
        <f t="shared" si="5"/>
        <v/>
      </c>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7"/>
      <c r="BC71" s="397"/>
      <c r="BD71" s="397"/>
      <c r="BE71" s="397"/>
      <c r="BF71" s="397"/>
      <c r="BG71" s="397"/>
      <c r="BH71" s="397"/>
      <c r="BI71" s="397"/>
      <c r="BJ71" s="397"/>
      <c r="BK71" s="397"/>
      <c r="BL71" s="397"/>
      <c r="BM71" s="397"/>
      <c r="BN71" s="397"/>
      <c r="BO71" s="397"/>
      <c r="BP71" s="397"/>
      <c r="BQ71" s="397"/>
      <c r="BR71" s="397"/>
      <c r="BS71" s="397"/>
      <c r="BT71" s="397"/>
      <c r="BU71" s="397"/>
      <c r="BV71" s="397"/>
      <c r="BW71" s="397"/>
      <c r="BX71" s="397"/>
      <c r="BY71" s="397"/>
      <c r="BZ71" s="397"/>
      <c r="CA71" s="397"/>
      <c r="CB71" s="397"/>
      <c r="CC71" s="397"/>
      <c r="CD71" s="397"/>
      <c r="CE71" s="397"/>
      <c r="CF71" s="397"/>
      <c r="CG71" s="397"/>
      <c r="CH71" s="397"/>
      <c r="CI71" s="397"/>
      <c r="CJ71" s="397"/>
      <c r="CK71" s="397"/>
      <c r="CL71" s="397"/>
      <c r="CM71" s="397"/>
      <c r="CN71" s="397"/>
      <c r="CO71" s="397"/>
      <c r="CP71" s="397"/>
      <c r="CQ71" s="397"/>
      <c r="CR71" s="397"/>
      <c r="CS71" s="397"/>
      <c r="CT71" s="397"/>
      <c r="CU71" s="397"/>
      <c r="CV71" s="397"/>
      <c r="CW71" s="397"/>
      <c r="CX71" s="397"/>
      <c r="CY71" s="397"/>
      <c r="CZ71" s="397"/>
      <c r="DA71" s="397"/>
      <c r="DB71" s="397"/>
      <c r="DC71" s="397"/>
      <c r="DD71" s="397"/>
      <c r="DE71" s="397"/>
      <c r="DF71" s="397"/>
      <c r="DG71" s="397"/>
      <c r="DH71" s="397"/>
      <c r="DI71" s="397"/>
      <c r="DJ71" s="397"/>
      <c r="DK71" s="397"/>
      <c r="DL71" s="397"/>
      <c r="DM71" s="397"/>
      <c r="DN71" s="397"/>
      <c r="DO71" s="397"/>
      <c r="DP71" s="397"/>
      <c r="DQ71" s="397"/>
      <c r="DR71" s="397"/>
      <c r="DS71" s="397"/>
      <c r="DT71" s="397"/>
      <c r="DU71" s="397"/>
      <c r="DV71" s="397"/>
      <c r="DW71" s="397"/>
      <c r="DX71" s="397"/>
      <c r="DY71" s="397"/>
      <c r="DZ71" s="397"/>
      <c r="EA71" s="397"/>
      <c r="EB71" s="397"/>
      <c r="EC71" s="397"/>
      <c r="ED71" s="397"/>
      <c r="EE71" s="397"/>
      <c r="EF71" s="397"/>
      <c r="EG71" s="397"/>
    </row>
    <row r="72" spans="7:137">
      <c r="G72" s="1540"/>
      <c r="H72"/>
      <c r="I72" s="534"/>
      <c r="J72" s="1541"/>
      <c r="L72" s="1541"/>
      <c r="M72" s="1541"/>
      <c r="N72" s="513"/>
      <c r="O72" s="554"/>
      <c r="P72" s="571" t="str">
        <f t="shared" si="5"/>
        <v/>
      </c>
      <c r="Q72" s="516"/>
      <c r="R72" s="516"/>
      <c r="S72" s="516"/>
      <c r="T72" s="516"/>
      <c r="U72" s="516"/>
      <c r="V72" s="516"/>
      <c r="W72" s="516"/>
      <c r="X72" s="516"/>
      <c r="Y72" s="516"/>
      <c r="Z72" s="516"/>
      <c r="AA72" s="516"/>
      <c r="AB72" s="516"/>
      <c r="AC72" s="516"/>
      <c r="AD72" s="516"/>
      <c r="AE72" s="516"/>
      <c r="AF72" s="516"/>
      <c r="AG72" s="516"/>
      <c r="AH72" s="516"/>
      <c r="AI72" s="516"/>
    </row>
    <row r="73" spans="7:137">
      <c r="G73" s="1540"/>
      <c r="H73"/>
      <c r="I73" s="534"/>
      <c r="J73" s="1541"/>
      <c r="L73" s="1541"/>
      <c r="M73" s="1541"/>
      <c r="N73" s="513"/>
      <c r="O73" s="554"/>
      <c r="P73" s="571" t="str">
        <f t="shared" si="5"/>
        <v/>
      </c>
      <c r="Q73" s="516"/>
      <c r="R73" s="516"/>
      <c r="S73" s="516"/>
      <c r="T73" s="516"/>
      <c r="U73" s="516"/>
      <c r="V73" s="516"/>
      <c r="W73" s="516"/>
      <c r="X73" s="516"/>
      <c r="Y73" s="516"/>
      <c r="Z73" s="516"/>
      <c r="AA73" s="516"/>
      <c r="AB73" s="516"/>
      <c r="AC73" s="516"/>
      <c r="AD73" s="516"/>
      <c r="AE73" s="516"/>
      <c r="AF73" s="516"/>
      <c r="AG73" s="516"/>
      <c r="AH73" s="516"/>
      <c r="AI73" s="516"/>
    </row>
    <row r="74" spans="7:137">
      <c r="G74" s="1540"/>
      <c r="H74"/>
      <c r="I74" s="534"/>
      <c r="J74" s="1541"/>
      <c r="L74" s="1541"/>
      <c r="M74" s="1541"/>
      <c r="N74" s="513"/>
      <c r="O74" s="554"/>
      <c r="P74" s="571" t="str">
        <f t="shared" si="5"/>
        <v/>
      </c>
      <c r="Q74" s="516"/>
      <c r="R74" s="516"/>
      <c r="S74" s="516"/>
      <c r="T74" s="516"/>
      <c r="U74" s="516"/>
      <c r="V74" s="516"/>
      <c r="W74" s="516"/>
      <c r="X74" s="516"/>
      <c r="Y74" s="516"/>
      <c r="Z74" s="516"/>
      <c r="AA74" s="516"/>
      <c r="AB74" s="516"/>
      <c r="AC74" s="516"/>
      <c r="AD74" s="516"/>
      <c r="AE74" s="516"/>
      <c r="AF74" s="516"/>
      <c r="AG74" s="516"/>
      <c r="AH74" s="516"/>
      <c r="AI74" s="516"/>
    </row>
    <row r="75" spans="7:137">
      <c r="G75" s="1540"/>
      <c r="H75"/>
      <c r="I75" s="534"/>
      <c r="J75" s="1541"/>
      <c r="L75" s="1541"/>
      <c r="M75" s="1541"/>
      <c r="N75" s="513"/>
      <c r="O75" s="554"/>
      <c r="P75" s="571" t="str">
        <f t="shared" si="5"/>
        <v/>
      </c>
      <c r="Q75" s="516"/>
      <c r="R75" s="516"/>
      <c r="S75" s="516"/>
      <c r="T75" s="516"/>
      <c r="U75" s="516"/>
      <c r="V75" s="516"/>
      <c r="W75" s="516"/>
      <c r="X75" s="516"/>
      <c r="Y75" s="516"/>
      <c r="Z75" s="516"/>
      <c r="AA75" s="516"/>
      <c r="AB75" s="516"/>
      <c r="AC75" s="516"/>
      <c r="AD75" s="516"/>
      <c r="AE75" s="516"/>
      <c r="AF75" s="516"/>
      <c r="AG75" s="516"/>
      <c r="AH75" s="516"/>
      <c r="AI75" s="516"/>
    </row>
    <row r="76" spans="7:137">
      <c r="G76" s="1540"/>
      <c r="H76"/>
      <c r="I76" s="534"/>
      <c r="J76" s="1541"/>
      <c r="L76" s="1541"/>
      <c r="M76" s="1541"/>
      <c r="N76" s="513"/>
      <c r="O76" s="554"/>
      <c r="P76" s="571" t="str">
        <f t="shared" si="5"/>
        <v/>
      </c>
      <c r="Q76" s="516"/>
      <c r="R76" s="516"/>
      <c r="S76" s="516"/>
      <c r="T76" s="516"/>
      <c r="U76" s="516"/>
      <c r="V76" s="516"/>
      <c r="W76" s="516"/>
      <c r="X76" s="516"/>
      <c r="Y76" s="516"/>
      <c r="Z76" s="516"/>
      <c r="AA76" s="516"/>
      <c r="AB76" s="516"/>
      <c r="AC76" s="516"/>
      <c r="AD76" s="516"/>
      <c r="AE76" s="516"/>
      <c r="AF76" s="516"/>
      <c r="AG76" s="516"/>
      <c r="AH76" s="516"/>
      <c r="AI76" s="516"/>
    </row>
    <row r="77" spans="7:137">
      <c r="G77" s="1540"/>
      <c r="H77"/>
      <c r="I77" s="534"/>
      <c r="J77" s="1541"/>
      <c r="L77" s="1541"/>
      <c r="M77" s="1541"/>
      <c r="N77" s="513"/>
      <c r="O77" s="554"/>
      <c r="P77" s="571" t="str">
        <f t="shared" ref="P77:P140" si="17">IFERROR(INDEX($A$12:$A$36,MATCH($N77,$D$12:$D$36,0)),"")</f>
        <v/>
      </c>
      <c r="Q77" s="516"/>
      <c r="R77" s="516"/>
      <c r="S77" s="516"/>
      <c r="T77" s="516"/>
      <c r="U77" s="516"/>
      <c r="V77" s="516"/>
      <c r="W77" s="516"/>
      <c r="X77" s="516"/>
      <c r="Y77" s="516"/>
      <c r="Z77" s="516"/>
      <c r="AA77" s="516"/>
      <c r="AB77" s="516"/>
      <c r="AC77" s="516"/>
      <c r="AD77" s="516"/>
      <c r="AE77" s="516"/>
      <c r="AF77" s="516"/>
      <c r="AG77" s="516"/>
      <c r="AH77" s="516"/>
      <c r="AI77" s="516"/>
    </row>
    <row r="78" spans="7:137">
      <c r="G78" s="1540"/>
      <c r="H78"/>
      <c r="I78" s="534"/>
      <c r="J78" s="1541"/>
      <c r="L78" s="1541"/>
      <c r="M78" s="1541"/>
      <c r="N78" s="513"/>
      <c r="O78" s="554"/>
      <c r="P78" s="571" t="str">
        <f t="shared" si="17"/>
        <v/>
      </c>
      <c r="Q78" s="516"/>
      <c r="R78" s="516"/>
      <c r="S78" s="516"/>
      <c r="T78" s="516"/>
      <c r="U78" s="516"/>
      <c r="V78" s="516"/>
      <c r="W78" s="516"/>
      <c r="X78" s="516"/>
      <c r="Y78" s="516"/>
      <c r="Z78" s="516"/>
      <c r="AA78" s="516"/>
      <c r="AB78" s="516"/>
      <c r="AC78" s="516"/>
      <c r="AD78" s="516"/>
      <c r="AE78" s="516"/>
      <c r="AF78" s="516"/>
      <c r="AG78" s="516"/>
      <c r="AH78" s="516"/>
      <c r="AI78" s="516"/>
    </row>
    <row r="79" spans="7:137">
      <c r="G79" s="1540"/>
      <c r="H79"/>
      <c r="I79" s="534"/>
      <c r="J79" s="1541"/>
      <c r="L79" s="1541"/>
      <c r="M79" s="1541"/>
      <c r="N79" s="513"/>
      <c r="O79" s="554"/>
      <c r="P79" s="571" t="str">
        <f t="shared" si="17"/>
        <v/>
      </c>
      <c r="Q79" s="516"/>
      <c r="R79" s="516"/>
      <c r="S79" s="516"/>
      <c r="T79" s="516"/>
      <c r="U79" s="516"/>
      <c r="V79" s="516"/>
      <c r="W79" s="516"/>
      <c r="X79" s="516"/>
      <c r="Y79" s="516"/>
      <c r="Z79" s="516"/>
      <c r="AA79" s="516"/>
      <c r="AB79" s="516"/>
      <c r="AC79" s="516"/>
      <c r="AD79" s="516"/>
      <c r="AE79" s="516"/>
      <c r="AF79" s="516"/>
      <c r="AG79" s="516"/>
      <c r="AH79" s="516"/>
      <c r="AI79" s="516"/>
    </row>
    <row r="80" spans="7:137">
      <c r="G80" s="1540"/>
      <c r="H80"/>
      <c r="I80" s="534"/>
      <c r="J80" s="1541"/>
      <c r="L80" s="1541"/>
      <c r="M80" s="1541"/>
      <c r="N80" s="513"/>
      <c r="O80" s="554"/>
      <c r="P80" s="571" t="str">
        <f t="shared" si="17"/>
        <v/>
      </c>
      <c r="Q80" s="516"/>
      <c r="R80" s="516"/>
      <c r="S80" s="516"/>
      <c r="T80" s="516"/>
      <c r="U80" s="516"/>
      <c r="V80" s="516"/>
      <c r="W80" s="516"/>
      <c r="X80" s="516"/>
      <c r="Y80" s="516"/>
      <c r="Z80" s="516"/>
      <c r="AA80" s="516"/>
      <c r="AB80" s="516"/>
      <c r="AC80" s="516"/>
      <c r="AD80" s="516"/>
      <c r="AE80" s="516"/>
      <c r="AF80" s="516"/>
      <c r="AG80" s="516"/>
      <c r="AH80" s="516"/>
      <c r="AI80" s="516"/>
    </row>
    <row r="81" spans="7:35">
      <c r="G81" s="1540"/>
      <c r="H81"/>
      <c r="I81" s="534"/>
      <c r="J81" s="1541"/>
      <c r="L81" s="1541"/>
      <c r="M81" s="1541"/>
      <c r="N81" s="513"/>
      <c r="O81" s="554"/>
      <c r="P81" s="571" t="str">
        <f t="shared" si="17"/>
        <v/>
      </c>
      <c r="Q81" s="516"/>
      <c r="R81" s="516"/>
      <c r="S81" s="516"/>
      <c r="T81" s="516"/>
      <c r="U81" s="516"/>
      <c r="V81" s="516"/>
      <c r="W81" s="516"/>
      <c r="X81" s="516"/>
      <c r="Y81" s="516"/>
      <c r="Z81" s="516"/>
      <c r="AA81" s="516"/>
      <c r="AB81" s="516"/>
      <c r="AC81" s="516"/>
      <c r="AD81" s="516"/>
      <c r="AE81" s="516"/>
      <c r="AF81" s="516"/>
      <c r="AG81" s="516"/>
      <c r="AH81" s="516"/>
      <c r="AI81" s="516"/>
    </row>
    <row r="82" spans="7:35">
      <c r="G82" s="1540"/>
      <c r="H82"/>
      <c r="I82" s="534"/>
      <c r="J82" s="1541"/>
      <c r="L82" s="1541"/>
      <c r="M82" s="1541"/>
      <c r="N82" s="513"/>
      <c r="O82" s="554"/>
      <c r="P82" s="444" t="str">
        <f t="shared" si="17"/>
        <v/>
      </c>
      <c r="Q82" s="397"/>
      <c r="R82" s="397"/>
      <c r="S82" s="397"/>
      <c r="T82" s="397"/>
      <c r="U82" s="397"/>
      <c r="V82" s="397"/>
    </row>
    <row r="83" spans="7:35">
      <c r="G83" s="1540"/>
      <c r="H83"/>
      <c r="I83" s="534"/>
      <c r="J83" s="1541"/>
      <c r="L83" s="1541"/>
      <c r="M83" s="1541"/>
      <c r="N83" s="513"/>
      <c r="O83" s="554"/>
      <c r="P83" s="444" t="str">
        <f t="shared" si="17"/>
        <v/>
      </c>
      <c r="Q83" s="397"/>
      <c r="R83" s="397"/>
      <c r="S83" s="397"/>
      <c r="T83" s="397"/>
      <c r="U83" s="397"/>
      <c r="V83" s="397"/>
    </row>
    <row r="84" spans="7:35">
      <c r="G84" s="1540"/>
      <c r="H84"/>
      <c r="I84" s="534"/>
      <c r="J84" s="1541"/>
      <c r="L84" s="1541"/>
      <c r="M84" s="1541"/>
      <c r="N84" s="513"/>
      <c r="O84" s="554"/>
      <c r="P84" s="444" t="str">
        <f t="shared" si="17"/>
        <v/>
      </c>
      <c r="Q84" s="397"/>
      <c r="R84" s="397"/>
      <c r="S84" s="397"/>
      <c r="T84" s="397"/>
      <c r="U84" s="397"/>
      <c r="V84" s="397"/>
    </row>
    <row r="85" spans="7:35">
      <c r="G85" s="1540"/>
      <c r="H85"/>
      <c r="I85" s="534"/>
      <c r="J85" s="1541"/>
      <c r="L85" s="1541"/>
      <c r="M85" s="1541"/>
      <c r="N85" s="513"/>
      <c r="O85" s="554"/>
      <c r="P85" s="444" t="str">
        <f t="shared" si="17"/>
        <v/>
      </c>
      <c r="Q85" s="397"/>
      <c r="R85" s="397"/>
      <c r="S85" s="397"/>
      <c r="T85" s="397"/>
      <c r="U85" s="397"/>
      <c r="V85" s="397"/>
    </row>
    <row r="86" spans="7:35">
      <c r="G86" s="1540"/>
      <c r="H86"/>
      <c r="I86" s="534"/>
      <c r="J86" s="1541"/>
      <c r="L86" s="1541"/>
      <c r="M86" s="1541"/>
      <c r="N86" s="513"/>
      <c r="O86" s="554"/>
      <c r="P86" s="444" t="str">
        <f t="shared" si="17"/>
        <v/>
      </c>
      <c r="Q86" s="397"/>
      <c r="R86" s="397"/>
      <c r="S86" s="397"/>
      <c r="T86" s="397"/>
      <c r="U86" s="397"/>
      <c r="V86" s="397"/>
    </row>
    <row r="87" spans="7:35">
      <c r="G87" s="1540"/>
      <c r="H87"/>
      <c r="I87" s="534"/>
      <c r="J87" s="1541"/>
      <c r="L87" s="1541"/>
      <c r="M87" s="1541"/>
      <c r="N87" s="513"/>
      <c r="O87" s="554"/>
      <c r="P87" s="444" t="str">
        <f t="shared" si="17"/>
        <v/>
      </c>
      <c r="Q87" s="397"/>
      <c r="R87" s="397"/>
      <c r="S87" s="397"/>
      <c r="T87" s="397"/>
      <c r="U87" s="397"/>
      <c r="V87" s="397"/>
    </row>
    <row r="88" spans="7:35">
      <c r="G88" s="1540"/>
      <c r="H88"/>
      <c r="I88" s="534"/>
      <c r="J88" s="1541"/>
      <c r="L88" s="1541"/>
      <c r="M88" s="1541"/>
      <c r="N88" s="513"/>
      <c r="O88" s="554"/>
      <c r="P88" s="444" t="str">
        <f t="shared" si="17"/>
        <v/>
      </c>
      <c r="Q88" s="397"/>
      <c r="R88" s="397"/>
      <c r="S88" s="397"/>
      <c r="T88" s="397"/>
      <c r="U88" s="397"/>
      <c r="V88" s="397"/>
    </row>
    <row r="89" spans="7:35">
      <c r="G89" s="1540"/>
      <c r="H89"/>
      <c r="I89" s="534"/>
      <c r="J89" s="1541"/>
      <c r="L89" s="1541"/>
      <c r="M89" s="1541"/>
      <c r="N89" s="513"/>
      <c r="O89" s="554"/>
      <c r="P89" s="444" t="str">
        <f t="shared" si="17"/>
        <v/>
      </c>
      <c r="Q89" s="397"/>
      <c r="R89" s="397"/>
      <c r="S89" s="397"/>
      <c r="T89" s="397"/>
      <c r="U89" s="397"/>
      <c r="V89" s="397"/>
    </row>
    <row r="90" spans="7:35">
      <c r="G90" s="1540"/>
      <c r="H90"/>
      <c r="I90" s="534"/>
      <c r="J90" s="1541"/>
      <c r="L90" s="1541"/>
      <c r="M90" s="1541"/>
      <c r="N90" s="513"/>
      <c r="O90" s="554"/>
      <c r="P90" s="444" t="str">
        <f t="shared" si="17"/>
        <v/>
      </c>
      <c r="Q90" s="397"/>
      <c r="R90" s="397"/>
      <c r="S90" s="397"/>
      <c r="T90" s="397"/>
      <c r="U90" s="397"/>
      <c r="V90" s="397"/>
    </row>
    <row r="91" spans="7:35">
      <c r="G91" s="1540"/>
      <c r="H91"/>
      <c r="I91" s="534"/>
      <c r="J91" s="1541"/>
      <c r="L91" s="1541"/>
      <c r="M91" s="1541"/>
      <c r="N91" s="513"/>
      <c r="O91" s="554"/>
      <c r="P91" s="444" t="str">
        <f t="shared" si="17"/>
        <v/>
      </c>
      <c r="Q91" s="397"/>
      <c r="R91" s="397"/>
      <c r="S91" s="397"/>
      <c r="T91" s="397"/>
      <c r="U91" s="397"/>
      <c r="V91" s="397"/>
    </row>
    <row r="92" spans="7:35">
      <c r="G92" s="1540"/>
      <c r="H92"/>
      <c r="I92" s="534"/>
      <c r="J92" s="1541"/>
      <c r="L92" s="1541"/>
      <c r="M92" s="1541"/>
      <c r="N92" s="513"/>
      <c r="O92" s="554"/>
      <c r="P92" s="444" t="str">
        <f t="shared" si="17"/>
        <v/>
      </c>
      <c r="Q92" s="397"/>
      <c r="R92" s="397"/>
      <c r="S92" s="397"/>
      <c r="T92" s="397"/>
      <c r="U92" s="397"/>
      <c r="V92" s="397"/>
    </row>
    <row r="93" spans="7:35">
      <c r="G93" s="1540"/>
      <c r="H93"/>
      <c r="I93" s="534"/>
      <c r="J93" s="1541"/>
      <c r="L93" s="1541"/>
      <c r="M93" s="1541"/>
      <c r="N93" s="513"/>
      <c r="O93" s="554"/>
      <c r="P93" s="444" t="str">
        <f t="shared" si="17"/>
        <v/>
      </c>
      <c r="Q93" s="397"/>
      <c r="R93" s="397"/>
      <c r="S93" s="397"/>
      <c r="T93" s="397"/>
      <c r="U93" s="397"/>
      <c r="V93" s="397"/>
    </row>
    <row r="94" spans="7:35">
      <c r="G94" s="1540"/>
      <c r="H94"/>
      <c r="I94" s="534"/>
      <c r="J94" s="1541"/>
      <c r="L94" s="1541"/>
      <c r="M94" s="1541"/>
      <c r="N94" s="513"/>
      <c r="O94" s="554"/>
      <c r="P94" s="444" t="str">
        <f t="shared" si="17"/>
        <v/>
      </c>
      <c r="Q94" s="397"/>
      <c r="R94" s="397"/>
      <c r="S94" s="397"/>
      <c r="T94" s="397"/>
      <c r="U94" s="397"/>
      <c r="V94" s="397"/>
    </row>
    <row r="95" spans="7:35">
      <c r="G95" s="1540"/>
      <c r="H95"/>
      <c r="I95" s="534"/>
      <c r="J95" s="1541"/>
      <c r="L95" s="1541"/>
      <c r="M95" s="1541"/>
      <c r="N95" s="513"/>
      <c r="O95" s="554"/>
      <c r="P95" s="444" t="str">
        <f t="shared" si="17"/>
        <v/>
      </c>
      <c r="Q95" s="397"/>
      <c r="R95" s="397"/>
      <c r="S95" s="397"/>
      <c r="T95" s="397"/>
      <c r="U95" s="397"/>
      <c r="V95" s="397"/>
    </row>
    <row r="96" spans="7:35">
      <c r="G96" s="1540"/>
      <c r="H96"/>
      <c r="I96" s="534"/>
      <c r="J96" s="1541"/>
      <c r="L96" s="1541"/>
      <c r="M96" s="1541"/>
      <c r="N96" s="513"/>
      <c r="O96" s="554"/>
      <c r="P96" s="444" t="str">
        <f t="shared" si="17"/>
        <v/>
      </c>
      <c r="Q96" s="397"/>
      <c r="R96" s="397"/>
      <c r="S96" s="397"/>
      <c r="T96" s="397"/>
      <c r="U96" s="397"/>
      <c r="V96" s="397"/>
    </row>
    <row r="97" spans="7:22">
      <c r="G97" s="1540"/>
      <c r="H97"/>
      <c r="I97" s="534"/>
      <c r="J97" s="1541"/>
      <c r="L97" s="1541"/>
      <c r="M97" s="1541"/>
      <c r="N97" s="513"/>
      <c r="O97" s="554"/>
      <c r="P97" s="444" t="str">
        <f t="shared" si="17"/>
        <v/>
      </c>
      <c r="Q97" s="397"/>
      <c r="R97" s="397"/>
      <c r="S97" s="397"/>
      <c r="T97" s="397"/>
      <c r="U97" s="397"/>
      <c r="V97" s="397"/>
    </row>
    <row r="98" spans="7:22">
      <c r="G98" s="1540"/>
      <c r="H98"/>
      <c r="I98" s="534"/>
      <c r="J98" s="1541"/>
      <c r="L98" s="1541"/>
      <c r="M98" s="1541"/>
      <c r="N98" s="513"/>
      <c r="O98" s="554"/>
      <c r="P98" s="444" t="str">
        <f t="shared" si="17"/>
        <v/>
      </c>
      <c r="Q98" s="397"/>
      <c r="R98" s="397"/>
      <c r="S98" s="397"/>
      <c r="T98" s="397"/>
      <c r="U98" s="397"/>
      <c r="V98" s="397"/>
    </row>
    <row r="99" spans="7:22">
      <c r="G99" s="1540"/>
      <c r="H99"/>
      <c r="I99" s="534"/>
      <c r="J99" s="1541"/>
      <c r="L99" s="1541"/>
      <c r="M99" s="1541"/>
      <c r="N99" s="513"/>
      <c r="O99" s="554"/>
      <c r="P99" s="444" t="str">
        <f t="shared" si="17"/>
        <v/>
      </c>
      <c r="Q99" s="397"/>
      <c r="R99" s="397"/>
      <c r="S99" s="397"/>
      <c r="T99" s="397"/>
      <c r="U99" s="397"/>
      <c r="V99" s="397"/>
    </row>
    <row r="100" spans="7:22">
      <c r="G100" s="1540"/>
      <c r="H100"/>
      <c r="I100" s="534"/>
      <c r="J100" s="1541"/>
      <c r="L100" s="1541"/>
      <c r="M100" s="1541"/>
      <c r="N100" s="513"/>
      <c r="O100" s="554"/>
      <c r="P100" s="444" t="str">
        <f t="shared" si="17"/>
        <v/>
      </c>
      <c r="Q100" s="397"/>
      <c r="R100" s="397"/>
      <c r="S100" s="397"/>
      <c r="T100" s="397"/>
      <c r="U100" s="397"/>
      <c r="V100" s="397"/>
    </row>
    <row r="101" spans="7:22">
      <c r="G101" s="1540"/>
      <c r="H101"/>
      <c r="I101" s="534"/>
      <c r="J101" s="1541"/>
      <c r="L101" s="1541"/>
      <c r="M101" s="1541"/>
      <c r="N101" s="513"/>
      <c r="O101" s="554"/>
      <c r="P101" s="444" t="str">
        <f t="shared" si="17"/>
        <v/>
      </c>
      <c r="Q101" s="397"/>
      <c r="R101" s="397"/>
      <c r="S101" s="397"/>
      <c r="T101" s="397"/>
      <c r="U101" s="397"/>
      <c r="V101" s="397"/>
    </row>
    <row r="102" spans="7:22">
      <c r="G102" s="1540"/>
      <c r="H102"/>
      <c r="I102" s="534"/>
      <c r="J102" s="1541"/>
      <c r="L102" s="1541"/>
      <c r="M102" s="1541"/>
      <c r="N102" s="513"/>
      <c r="O102" s="554"/>
      <c r="P102" s="444" t="str">
        <f t="shared" si="17"/>
        <v/>
      </c>
      <c r="Q102" s="397"/>
      <c r="R102" s="397"/>
      <c r="S102" s="397"/>
      <c r="T102" s="397"/>
      <c r="U102" s="397"/>
      <c r="V102" s="397"/>
    </row>
    <row r="103" spans="7:22">
      <c r="G103" s="1540"/>
      <c r="H103"/>
      <c r="I103" s="534"/>
      <c r="J103" s="1541"/>
      <c r="L103" s="1541"/>
      <c r="M103" s="1541"/>
      <c r="N103" s="513"/>
      <c r="O103" s="554"/>
      <c r="P103" s="444" t="str">
        <f t="shared" si="17"/>
        <v/>
      </c>
      <c r="Q103" s="397"/>
      <c r="R103" s="397"/>
      <c r="S103" s="397"/>
      <c r="T103" s="397"/>
      <c r="U103" s="397"/>
      <c r="V103" s="397"/>
    </row>
    <row r="104" spans="7:22">
      <c r="G104" s="1540"/>
      <c r="H104"/>
      <c r="I104" s="534"/>
      <c r="J104" s="1541"/>
      <c r="L104" s="1541"/>
      <c r="M104" s="1541"/>
      <c r="N104" s="513"/>
      <c r="O104" s="554"/>
      <c r="P104" s="444" t="str">
        <f t="shared" si="17"/>
        <v/>
      </c>
      <c r="Q104" s="397"/>
      <c r="R104" s="397"/>
      <c r="S104" s="397"/>
      <c r="T104" s="397"/>
      <c r="U104" s="397"/>
      <c r="V104" s="397"/>
    </row>
    <row r="105" spans="7:22">
      <c r="G105" s="1540"/>
      <c r="H105"/>
      <c r="I105" s="534"/>
      <c r="J105" s="1541"/>
      <c r="L105" s="1541"/>
      <c r="M105" s="1541"/>
      <c r="N105" s="513"/>
      <c r="O105" s="554"/>
      <c r="P105" s="444" t="str">
        <f t="shared" si="17"/>
        <v/>
      </c>
      <c r="Q105" s="397"/>
      <c r="R105" s="397"/>
      <c r="S105" s="397"/>
      <c r="T105" s="397"/>
      <c r="U105" s="397"/>
      <c r="V105" s="397"/>
    </row>
    <row r="106" spans="7:22">
      <c r="G106" s="1540"/>
      <c r="H106"/>
      <c r="I106" s="534"/>
      <c r="J106" s="1541"/>
      <c r="L106" s="1541"/>
      <c r="M106" s="1541"/>
      <c r="N106" s="513"/>
      <c r="O106" s="554"/>
      <c r="P106" s="444" t="str">
        <f t="shared" si="17"/>
        <v/>
      </c>
      <c r="Q106" s="397"/>
      <c r="R106" s="397"/>
      <c r="S106" s="397"/>
      <c r="T106" s="397"/>
      <c r="U106" s="397"/>
      <c r="V106" s="397"/>
    </row>
    <row r="107" spans="7:22">
      <c r="G107" s="1540"/>
      <c r="H107"/>
      <c r="I107" s="534"/>
      <c r="J107" s="1541"/>
      <c r="L107" s="1541"/>
      <c r="M107" s="1541"/>
      <c r="N107" s="513"/>
      <c r="O107" s="554"/>
      <c r="P107" s="444" t="str">
        <f t="shared" si="17"/>
        <v/>
      </c>
      <c r="Q107" s="397"/>
      <c r="R107" s="397"/>
      <c r="S107" s="397"/>
      <c r="T107" s="397"/>
      <c r="U107" s="397"/>
      <c r="V107" s="397"/>
    </row>
    <row r="108" spans="7:22">
      <c r="G108" s="1540"/>
      <c r="H108"/>
      <c r="I108" s="534"/>
      <c r="J108" s="1541"/>
      <c r="L108" s="1541"/>
      <c r="M108" s="1541"/>
      <c r="N108" s="513"/>
      <c r="O108" s="554"/>
      <c r="P108" s="444" t="str">
        <f t="shared" si="17"/>
        <v/>
      </c>
      <c r="Q108" s="397"/>
      <c r="R108" s="397"/>
      <c r="S108" s="397"/>
      <c r="T108" s="397"/>
      <c r="U108" s="397"/>
      <c r="V108" s="397"/>
    </row>
    <row r="109" spans="7:22">
      <c r="G109" s="1540"/>
      <c r="H109"/>
      <c r="I109" s="534"/>
      <c r="J109" s="1541"/>
      <c r="L109" s="1541"/>
      <c r="M109" s="1541"/>
      <c r="N109" s="513"/>
      <c r="O109" s="554"/>
      <c r="P109" s="444" t="str">
        <f t="shared" si="17"/>
        <v/>
      </c>
      <c r="Q109" s="397"/>
      <c r="R109" s="397"/>
      <c r="S109" s="397"/>
      <c r="T109" s="397"/>
      <c r="U109" s="397"/>
      <c r="V109" s="397"/>
    </row>
    <row r="110" spans="7:22">
      <c r="G110" s="1540"/>
      <c r="H110"/>
      <c r="I110" s="534"/>
      <c r="J110" s="1541"/>
      <c r="L110" s="1541"/>
      <c r="M110" s="1541"/>
      <c r="N110" s="513"/>
      <c r="O110" s="554"/>
      <c r="P110" s="444" t="str">
        <f t="shared" si="17"/>
        <v/>
      </c>
      <c r="Q110" s="397"/>
      <c r="R110" s="397"/>
      <c r="S110" s="397"/>
      <c r="T110" s="397"/>
      <c r="U110" s="397"/>
      <c r="V110" s="397"/>
    </row>
    <row r="111" spans="7:22">
      <c r="G111" s="1540"/>
      <c r="H111"/>
      <c r="I111" s="534"/>
      <c r="J111" s="1541"/>
      <c r="L111" s="1541"/>
      <c r="M111" s="1541"/>
      <c r="N111" s="513"/>
      <c r="O111" s="554"/>
      <c r="P111" s="444" t="str">
        <f t="shared" si="17"/>
        <v/>
      </c>
      <c r="Q111" s="397"/>
      <c r="R111" s="397"/>
      <c r="S111" s="397"/>
      <c r="T111" s="397"/>
      <c r="U111" s="397"/>
      <c r="V111" s="397"/>
    </row>
    <row r="112" spans="7:22">
      <c r="G112" s="1540"/>
      <c r="H112"/>
      <c r="I112" s="534"/>
      <c r="J112" s="1541"/>
      <c r="L112" s="1541"/>
      <c r="M112" s="1541"/>
      <c r="N112" s="513"/>
      <c r="O112" s="554"/>
      <c r="P112" s="444" t="str">
        <f t="shared" si="17"/>
        <v/>
      </c>
      <c r="Q112" s="397"/>
      <c r="R112" s="397"/>
      <c r="S112" s="397"/>
      <c r="T112" s="397"/>
      <c r="U112" s="397"/>
      <c r="V112" s="397"/>
    </row>
    <row r="113" spans="7:22">
      <c r="G113" s="1540"/>
      <c r="H113"/>
      <c r="I113" s="534"/>
      <c r="J113" s="1541"/>
      <c r="L113" s="1541"/>
      <c r="M113" s="1541"/>
      <c r="N113" s="513"/>
      <c r="O113" s="554"/>
      <c r="P113" s="444" t="str">
        <f t="shared" si="17"/>
        <v/>
      </c>
      <c r="Q113" s="397"/>
      <c r="R113" s="397"/>
      <c r="S113" s="397"/>
      <c r="T113" s="397"/>
      <c r="U113" s="397"/>
      <c r="V113" s="397"/>
    </row>
    <row r="114" spans="7:22">
      <c r="G114" s="1540"/>
      <c r="H114"/>
      <c r="I114" s="534"/>
      <c r="J114" s="1541"/>
      <c r="L114" s="1541"/>
      <c r="M114" s="1541"/>
      <c r="N114" s="513"/>
      <c r="O114" s="554"/>
      <c r="P114" s="444" t="str">
        <f t="shared" si="17"/>
        <v/>
      </c>
      <c r="Q114" s="397"/>
      <c r="R114" s="397"/>
      <c r="S114" s="397"/>
      <c r="T114" s="397"/>
      <c r="U114" s="397"/>
      <c r="V114" s="397"/>
    </row>
    <row r="115" spans="7:22">
      <c r="G115" s="1540"/>
      <c r="H115"/>
      <c r="I115" s="534"/>
      <c r="J115" s="1541"/>
      <c r="L115" s="1541"/>
      <c r="M115" s="1541"/>
      <c r="N115" s="513"/>
      <c r="O115" s="554"/>
      <c r="P115" s="444" t="str">
        <f t="shared" si="17"/>
        <v/>
      </c>
      <c r="Q115" s="397"/>
      <c r="R115" s="397"/>
      <c r="S115" s="397"/>
      <c r="T115" s="397"/>
      <c r="U115" s="397"/>
      <c r="V115" s="397"/>
    </row>
    <row r="116" spans="7:22">
      <c r="G116" s="1540"/>
      <c r="H116"/>
      <c r="I116" s="534"/>
      <c r="J116" s="1541"/>
      <c r="L116" s="1541"/>
      <c r="M116" s="1541"/>
      <c r="N116" s="513"/>
      <c r="O116" s="554"/>
      <c r="P116" s="444" t="str">
        <f t="shared" si="17"/>
        <v/>
      </c>
      <c r="Q116" s="397"/>
      <c r="R116" s="397"/>
      <c r="S116" s="397"/>
      <c r="T116" s="397"/>
      <c r="U116" s="397"/>
      <c r="V116" s="397"/>
    </row>
    <row r="117" spans="7:22">
      <c r="G117" s="1540"/>
      <c r="H117"/>
      <c r="I117" s="534"/>
      <c r="J117" s="1541"/>
      <c r="L117" s="1541"/>
      <c r="M117" s="1541"/>
      <c r="N117" s="513"/>
      <c r="O117" s="554"/>
      <c r="P117" s="444" t="str">
        <f t="shared" si="17"/>
        <v/>
      </c>
      <c r="Q117" s="397"/>
      <c r="R117" s="397"/>
      <c r="S117" s="397"/>
      <c r="T117" s="397"/>
      <c r="U117" s="397"/>
      <c r="V117" s="397"/>
    </row>
    <row r="118" spans="7:22">
      <c r="G118" s="1540"/>
      <c r="H118"/>
      <c r="I118" s="534"/>
      <c r="J118" s="1541"/>
      <c r="L118" s="1541"/>
      <c r="M118" s="1541"/>
      <c r="N118" s="513"/>
      <c r="O118" s="554"/>
      <c r="P118" s="444" t="str">
        <f t="shared" si="17"/>
        <v/>
      </c>
      <c r="Q118" s="397"/>
      <c r="R118" s="397"/>
      <c r="S118" s="397"/>
      <c r="T118" s="397"/>
      <c r="U118" s="397"/>
      <c r="V118" s="397"/>
    </row>
    <row r="119" spans="7:22">
      <c r="G119" s="1540"/>
      <c r="H119"/>
      <c r="I119" s="534"/>
      <c r="J119" s="1541"/>
      <c r="L119" s="1541"/>
      <c r="M119" s="1541"/>
      <c r="N119" s="513"/>
      <c r="O119" s="554"/>
      <c r="P119" s="444" t="str">
        <f t="shared" si="17"/>
        <v/>
      </c>
      <c r="Q119" s="397"/>
      <c r="R119" s="397"/>
      <c r="S119" s="397"/>
      <c r="T119" s="397"/>
      <c r="U119" s="397"/>
      <c r="V119" s="397"/>
    </row>
    <row r="120" spans="7:22">
      <c r="G120" s="1540"/>
      <c r="H120"/>
      <c r="I120" s="534"/>
      <c r="J120" s="1541"/>
      <c r="L120" s="1541"/>
      <c r="M120" s="1541"/>
      <c r="N120" s="513"/>
      <c r="O120" s="554"/>
      <c r="P120" s="444" t="str">
        <f t="shared" si="17"/>
        <v/>
      </c>
      <c r="Q120" s="397"/>
      <c r="R120" s="397"/>
      <c r="S120" s="397"/>
      <c r="T120" s="397"/>
      <c r="U120" s="397"/>
      <c r="V120" s="397"/>
    </row>
    <row r="121" spans="7:22">
      <c r="G121" s="1540"/>
      <c r="H121"/>
      <c r="I121" s="534"/>
      <c r="J121" s="1541"/>
      <c r="L121" s="1541"/>
      <c r="M121" s="1541"/>
      <c r="N121" s="513"/>
      <c r="O121" s="554"/>
      <c r="P121" s="444" t="str">
        <f t="shared" si="17"/>
        <v/>
      </c>
      <c r="Q121" s="397"/>
      <c r="R121" s="397"/>
      <c r="S121" s="397"/>
      <c r="T121" s="397"/>
      <c r="U121" s="397"/>
      <c r="V121" s="397"/>
    </row>
    <row r="122" spans="7:22">
      <c r="G122" s="1540"/>
      <c r="H122"/>
      <c r="I122" s="534"/>
      <c r="J122" s="1541"/>
      <c r="L122" s="1541"/>
      <c r="M122" s="1541"/>
      <c r="N122" s="513"/>
      <c r="O122" s="554"/>
      <c r="P122" s="444" t="str">
        <f t="shared" si="17"/>
        <v/>
      </c>
      <c r="Q122" s="397"/>
      <c r="R122" s="397"/>
      <c r="S122" s="397"/>
      <c r="T122" s="397"/>
      <c r="U122" s="397"/>
      <c r="V122" s="397"/>
    </row>
    <row r="123" spans="7:22">
      <c r="G123" s="1540"/>
      <c r="H123"/>
      <c r="I123" s="534"/>
      <c r="J123" s="1541"/>
      <c r="L123" s="1541"/>
      <c r="M123" s="1541"/>
      <c r="N123" s="513"/>
      <c r="O123" s="554"/>
      <c r="P123" s="444" t="str">
        <f t="shared" si="17"/>
        <v/>
      </c>
      <c r="Q123" s="397"/>
      <c r="R123" s="397"/>
      <c r="S123" s="397"/>
      <c r="T123" s="397"/>
      <c r="U123" s="397"/>
      <c r="V123" s="397"/>
    </row>
    <row r="124" spans="7:22">
      <c r="G124" s="1540"/>
      <c r="H124"/>
      <c r="I124" s="534"/>
      <c r="J124" s="1541"/>
      <c r="L124" s="1541"/>
      <c r="M124" s="1541"/>
      <c r="N124" s="513"/>
      <c r="O124" s="554"/>
      <c r="P124" s="444" t="str">
        <f t="shared" si="17"/>
        <v/>
      </c>
      <c r="Q124" s="397"/>
      <c r="R124" s="397"/>
      <c r="S124" s="397"/>
      <c r="T124" s="397"/>
      <c r="U124" s="397"/>
      <c r="V124" s="397"/>
    </row>
    <row r="125" spans="7:22">
      <c r="G125" s="1540"/>
      <c r="H125"/>
      <c r="I125" s="534"/>
      <c r="J125" s="1541"/>
      <c r="L125" s="1541"/>
      <c r="M125" s="1541"/>
      <c r="N125" s="513"/>
      <c r="O125" s="554"/>
      <c r="P125" s="444" t="str">
        <f t="shared" si="17"/>
        <v/>
      </c>
      <c r="Q125" s="397"/>
      <c r="R125" s="397"/>
      <c r="S125" s="397"/>
      <c r="T125" s="397"/>
      <c r="U125" s="397"/>
      <c r="V125" s="397"/>
    </row>
    <row r="126" spans="7:22">
      <c r="G126" s="1540"/>
      <c r="H126"/>
      <c r="I126" s="534"/>
      <c r="J126" s="1541"/>
      <c r="L126" s="1541"/>
      <c r="M126" s="1541"/>
      <c r="N126" s="513"/>
      <c r="O126" s="554"/>
      <c r="P126" s="444" t="str">
        <f t="shared" si="17"/>
        <v/>
      </c>
      <c r="Q126" s="397"/>
      <c r="R126" s="397"/>
      <c r="S126" s="397"/>
      <c r="T126" s="397"/>
      <c r="U126" s="397"/>
      <c r="V126" s="397"/>
    </row>
    <row r="127" spans="7:22">
      <c r="G127" s="1540"/>
      <c r="H127"/>
      <c r="I127" s="534"/>
      <c r="J127" s="1541"/>
      <c r="L127" s="1541"/>
      <c r="M127" s="1541"/>
      <c r="N127" s="513"/>
      <c r="O127" s="554"/>
      <c r="P127" s="444" t="str">
        <f t="shared" si="17"/>
        <v/>
      </c>
      <c r="Q127" s="397"/>
      <c r="R127" s="397"/>
      <c r="S127" s="397"/>
      <c r="T127" s="397"/>
      <c r="U127" s="397"/>
      <c r="V127" s="397"/>
    </row>
    <row r="128" spans="7:22">
      <c r="G128" s="1540"/>
      <c r="H128"/>
      <c r="I128" s="534"/>
      <c r="J128" s="1541"/>
      <c r="L128" s="1541"/>
      <c r="M128" s="1541"/>
      <c r="N128" s="513"/>
      <c r="O128" s="554"/>
      <c r="P128" s="444" t="str">
        <f t="shared" si="17"/>
        <v/>
      </c>
      <c r="Q128" s="397"/>
      <c r="R128" s="397"/>
      <c r="S128" s="397"/>
      <c r="T128" s="397"/>
      <c r="U128" s="397"/>
      <c r="V128" s="397"/>
    </row>
    <row r="129" spans="7:22">
      <c r="G129" s="1540"/>
      <c r="H129"/>
      <c r="I129" s="534"/>
      <c r="J129" s="1541"/>
      <c r="L129" s="1541"/>
      <c r="M129" s="1541"/>
      <c r="N129" s="513"/>
      <c r="O129" s="554"/>
      <c r="P129" s="444" t="str">
        <f t="shared" si="17"/>
        <v/>
      </c>
      <c r="Q129" s="397"/>
      <c r="R129" s="397"/>
      <c r="S129" s="397"/>
      <c r="T129" s="397"/>
      <c r="U129" s="397"/>
      <c r="V129" s="397"/>
    </row>
    <row r="130" spans="7:22">
      <c r="G130" s="1540"/>
      <c r="H130"/>
      <c r="I130" s="534"/>
      <c r="J130" s="1541"/>
      <c r="L130" s="1541"/>
      <c r="M130" s="1541"/>
      <c r="N130" s="513"/>
      <c r="O130" s="554"/>
      <c r="P130" s="444" t="str">
        <f t="shared" si="17"/>
        <v/>
      </c>
      <c r="Q130" s="397"/>
      <c r="R130" s="397"/>
      <c r="S130" s="397"/>
      <c r="T130" s="397"/>
      <c r="U130" s="397"/>
      <c r="V130" s="397"/>
    </row>
    <row r="131" spans="7:22">
      <c r="G131" s="1540"/>
      <c r="H131"/>
      <c r="I131" s="534"/>
      <c r="J131" s="1541"/>
      <c r="L131" s="1541"/>
      <c r="M131" s="1541"/>
      <c r="N131" s="513"/>
      <c r="O131" s="554"/>
      <c r="P131" s="444" t="str">
        <f t="shared" si="17"/>
        <v/>
      </c>
      <c r="Q131" s="397"/>
      <c r="R131" s="397"/>
      <c r="S131" s="397"/>
      <c r="T131" s="397"/>
      <c r="U131" s="397"/>
      <c r="V131" s="397"/>
    </row>
    <row r="132" spans="7:22">
      <c r="G132" s="1540"/>
      <c r="H132"/>
      <c r="I132" s="534"/>
      <c r="J132" s="1541"/>
      <c r="L132" s="1541"/>
      <c r="M132" s="1541"/>
      <c r="N132" s="513"/>
      <c r="O132" s="554"/>
      <c r="P132" s="444" t="str">
        <f t="shared" si="17"/>
        <v/>
      </c>
      <c r="Q132" s="397"/>
      <c r="R132" s="397"/>
      <c r="S132" s="397"/>
      <c r="T132" s="397"/>
      <c r="U132" s="397"/>
      <c r="V132" s="397"/>
    </row>
    <row r="133" spans="7:22">
      <c r="G133" s="1540"/>
      <c r="H133"/>
      <c r="I133" s="534"/>
      <c r="J133" s="1541"/>
      <c r="L133" s="1541"/>
      <c r="M133" s="1541"/>
      <c r="N133" s="513"/>
      <c r="O133" s="554"/>
      <c r="P133" s="444" t="str">
        <f t="shared" si="17"/>
        <v/>
      </c>
      <c r="Q133" s="397"/>
      <c r="R133" s="397"/>
      <c r="S133" s="397"/>
      <c r="T133" s="397"/>
      <c r="U133" s="397"/>
      <c r="V133" s="397"/>
    </row>
    <row r="134" spans="7:22">
      <c r="G134" s="1540"/>
      <c r="H134"/>
      <c r="I134" s="534"/>
      <c r="J134" s="1541"/>
      <c r="L134" s="1541"/>
      <c r="M134" s="1541"/>
      <c r="N134" s="513"/>
      <c r="O134" s="554"/>
      <c r="P134" s="444" t="str">
        <f t="shared" si="17"/>
        <v/>
      </c>
      <c r="Q134" s="397"/>
      <c r="R134" s="397"/>
      <c r="S134" s="397"/>
      <c r="T134" s="397"/>
      <c r="U134" s="397"/>
      <c r="V134" s="397"/>
    </row>
    <row r="135" spans="7:22">
      <c r="G135" s="1540"/>
      <c r="H135"/>
      <c r="I135" s="534"/>
      <c r="J135" s="1541"/>
      <c r="L135" s="1541"/>
      <c r="M135" s="1541"/>
      <c r="N135" s="513"/>
      <c r="O135" s="554"/>
      <c r="P135" s="444" t="str">
        <f t="shared" si="17"/>
        <v/>
      </c>
      <c r="Q135" s="397"/>
      <c r="R135" s="397"/>
      <c r="S135" s="397"/>
      <c r="T135" s="397"/>
      <c r="U135" s="397"/>
      <c r="V135" s="397"/>
    </row>
    <row r="136" spans="7:22">
      <c r="G136" s="1540"/>
      <c r="H136"/>
      <c r="I136" s="534"/>
      <c r="J136" s="1541"/>
      <c r="L136" s="1541"/>
      <c r="M136" s="1541"/>
      <c r="N136" s="513"/>
      <c r="O136" s="554"/>
      <c r="P136" s="444" t="str">
        <f t="shared" si="17"/>
        <v/>
      </c>
      <c r="Q136" s="397"/>
      <c r="R136" s="397"/>
      <c r="S136" s="397"/>
      <c r="T136" s="397"/>
      <c r="U136" s="397"/>
      <c r="V136" s="397"/>
    </row>
    <row r="137" spans="7:22">
      <c r="G137" s="1540"/>
      <c r="H137"/>
      <c r="I137" s="534"/>
      <c r="J137" s="1541"/>
      <c r="L137" s="1541"/>
      <c r="M137" s="1541"/>
      <c r="N137" s="513"/>
      <c r="O137" s="554"/>
      <c r="P137" s="444" t="str">
        <f t="shared" si="17"/>
        <v/>
      </c>
      <c r="Q137" s="397"/>
      <c r="R137" s="397"/>
      <c r="S137" s="397"/>
      <c r="T137" s="397"/>
      <c r="U137" s="397"/>
      <c r="V137" s="397"/>
    </row>
    <row r="138" spans="7:22">
      <c r="G138" s="1540"/>
      <c r="H138"/>
      <c r="I138" s="534"/>
      <c r="J138" s="1541"/>
      <c r="L138" s="1541"/>
      <c r="M138" s="1541"/>
      <c r="N138" s="513"/>
      <c r="O138" s="554"/>
      <c r="P138" s="444" t="str">
        <f t="shared" si="17"/>
        <v/>
      </c>
      <c r="Q138" s="397"/>
      <c r="R138" s="397"/>
      <c r="S138" s="397"/>
      <c r="T138" s="397"/>
      <c r="U138" s="397"/>
      <c r="V138" s="397"/>
    </row>
    <row r="139" spans="7:22">
      <c r="G139" s="1540"/>
      <c r="H139"/>
      <c r="I139" s="534"/>
      <c r="J139" s="1541"/>
      <c r="L139" s="1541"/>
      <c r="M139" s="1541"/>
      <c r="N139" s="513"/>
      <c r="O139" s="554"/>
      <c r="P139" s="444" t="str">
        <f t="shared" si="17"/>
        <v/>
      </c>
      <c r="Q139" s="397"/>
      <c r="R139" s="397"/>
      <c r="S139" s="397"/>
      <c r="T139" s="397"/>
      <c r="U139" s="397"/>
      <c r="V139" s="397"/>
    </row>
    <row r="140" spans="7:22">
      <c r="G140" s="1540"/>
      <c r="H140"/>
      <c r="I140" s="534"/>
      <c r="J140" s="1541"/>
      <c r="L140" s="1541"/>
      <c r="M140" s="1541"/>
      <c r="N140" s="513"/>
      <c r="O140" s="554"/>
      <c r="P140" s="444" t="str">
        <f t="shared" si="17"/>
        <v/>
      </c>
      <c r="Q140" s="397"/>
      <c r="R140" s="397"/>
      <c r="S140" s="397"/>
      <c r="T140" s="397"/>
      <c r="U140" s="397"/>
      <c r="V140" s="397"/>
    </row>
    <row r="141" spans="7:22">
      <c r="G141" s="1540"/>
      <c r="H141"/>
      <c r="I141" s="534"/>
      <c r="J141" s="1541"/>
      <c r="L141" s="1541"/>
      <c r="M141" s="1541"/>
      <c r="N141" s="513"/>
      <c r="O141" s="554"/>
      <c r="P141" s="444" t="str">
        <f t="shared" ref="P141:P204" si="18">IFERROR(INDEX($A$12:$A$36,MATCH($N141,$D$12:$D$36,0)),"")</f>
        <v/>
      </c>
      <c r="Q141" s="397"/>
      <c r="R141" s="397"/>
      <c r="S141" s="397"/>
      <c r="T141" s="397"/>
      <c r="U141" s="397"/>
      <c r="V141" s="397"/>
    </row>
    <row r="142" spans="7:22">
      <c r="G142" s="1540"/>
      <c r="H142"/>
      <c r="I142" s="534"/>
      <c r="J142" s="1541"/>
      <c r="L142" s="1541"/>
      <c r="M142" s="1541"/>
      <c r="N142" s="513"/>
      <c r="O142" s="554"/>
      <c r="P142" s="444" t="str">
        <f t="shared" si="18"/>
        <v/>
      </c>
      <c r="Q142" s="397"/>
      <c r="R142" s="397"/>
      <c r="S142" s="397"/>
      <c r="T142" s="397"/>
      <c r="U142" s="397"/>
      <c r="V142" s="397"/>
    </row>
    <row r="143" spans="7:22">
      <c r="G143" s="1540"/>
      <c r="H143"/>
      <c r="I143" s="534"/>
      <c r="J143" s="1541"/>
      <c r="L143" s="1541"/>
      <c r="M143" s="1541"/>
      <c r="N143" s="513"/>
      <c r="O143" s="554"/>
      <c r="P143" s="444" t="str">
        <f t="shared" si="18"/>
        <v/>
      </c>
      <c r="Q143" s="397"/>
      <c r="R143" s="397"/>
      <c r="S143" s="397"/>
      <c r="T143" s="397"/>
      <c r="U143" s="397"/>
      <c r="V143" s="397"/>
    </row>
    <row r="144" spans="7:22">
      <c r="G144" s="1540"/>
      <c r="H144"/>
      <c r="I144" s="534"/>
      <c r="J144" s="1541"/>
      <c r="L144" s="1541"/>
      <c r="M144" s="1541"/>
      <c r="N144" s="513"/>
      <c r="O144" s="554"/>
      <c r="P144" s="444" t="str">
        <f t="shared" si="18"/>
        <v/>
      </c>
      <c r="Q144" s="397"/>
      <c r="R144" s="397"/>
      <c r="S144" s="397"/>
      <c r="T144" s="397"/>
      <c r="U144" s="397"/>
      <c r="V144" s="397"/>
    </row>
    <row r="145" spans="7:22">
      <c r="G145" s="1540"/>
      <c r="H145"/>
      <c r="I145" s="534"/>
      <c r="J145" s="1541"/>
      <c r="L145" s="1541"/>
      <c r="M145" s="1541"/>
      <c r="N145" s="513"/>
      <c r="O145" s="554"/>
      <c r="P145" s="444" t="str">
        <f t="shared" si="18"/>
        <v/>
      </c>
      <c r="Q145" s="397"/>
      <c r="R145" s="397"/>
      <c r="S145" s="397"/>
      <c r="T145" s="397"/>
      <c r="U145" s="397"/>
      <c r="V145" s="397"/>
    </row>
    <row r="146" spans="7:22">
      <c r="G146" s="1540"/>
      <c r="H146"/>
      <c r="I146" s="534"/>
      <c r="J146" s="1541"/>
      <c r="L146" s="1541"/>
      <c r="M146" s="1541"/>
      <c r="N146" s="513"/>
      <c r="O146" s="554"/>
      <c r="P146" s="444" t="str">
        <f t="shared" si="18"/>
        <v/>
      </c>
      <c r="Q146" s="397"/>
      <c r="R146" s="397"/>
      <c r="S146" s="397"/>
      <c r="T146" s="397"/>
      <c r="U146" s="397"/>
      <c r="V146" s="397"/>
    </row>
    <row r="147" spans="7:22">
      <c r="G147" s="1540"/>
      <c r="H147"/>
      <c r="I147" s="534"/>
      <c r="J147" s="1541"/>
      <c r="L147" s="1541"/>
      <c r="M147" s="1541"/>
      <c r="N147" s="513"/>
      <c r="O147" s="554"/>
      <c r="P147" s="444" t="str">
        <f t="shared" si="18"/>
        <v/>
      </c>
      <c r="Q147" s="397"/>
      <c r="R147" s="397"/>
      <c r="S147" s="397"/>
      <c r="T147" s="397"/>
      <c r="U147" s="397"/>
      <c r="V147" s="397"/>
    </row>
    <row r="148" spans="7:22">
      <c r="G148" s="1540"/>
      <c r="H148"/>
      <c r="I148" s="534"/>
      <c r="J148" s="1541"/>
      <c r="L148" s="1541"/>
      <c r="M148" s="1541"/>
      <c r="N148" s="513"/>
      <c r="O148" s="554"/>
      <c r="P148" s="444" t="str">
        <f t="shared" si="18"/>
        <v/>
      </c>
      <c r="Q148" s="397"/>
      <c r="R148" s="397"/>
      <c r="S148" s="397"/>
      <c r="T148" s="397"/>
      <c r="U148" s="397"/>
      <c r="V148" s="397"/>
    </row>
    <row r="149" spans="7:22">
      <c r="G149" s="1540"/>
      <c r="H149"/>
      <c r="I149" s="534"/>
      <c r="J149" s="1541"/>
      <c r="L149" s="1541"/>
      <c r="M149" s="1541"/>
      <c r="N149" s="513"/>
      <c r="O149" s="554"/>
      <c r="P149" s="444" t="str">
        <f t="shared" si="18"/>
        <v/>
      </c>
      <c r="Q149" s="397"/>
      <c r="R149" s="397"/>
      <c r="S149" s="397"/>
      <c r="T149" s="397"/>
      <c r="U149" s="397"/>
      <c r="V149" s="397"/>
    </row>
    <row r="150" spans="7:22">
      <c r="G150" s="1540"/>
      <c r="H150"/>
      <c r="I150" s="534"/>
      <c r="J150" s="1541"/>
      <c r="L150" s="1541"/>
      <c r="M150" s="1541"/>
      <c r="N150" s="513"/>
      <c r="O150" s="554"/>
      <c r="P150" s="444" t="str">
        <f t="shared" si="18"/>
        <v/>
      </c>
      <c r="Q150" s="397"/>
      <c r="R150" s="397"/>
      <c r="S150" s="397"/>
      <c r="T150" s="397"/>
      <c r="U150" s="397"/>
      <c r="V150" s="397"/>
    </row>
    <row r="151" spans="7:22">
      <c r="G151" s="1540"/>
      <c r="H151"/>
      <c r="I151" s="534"/>
      <c r="J151" s="1541"/>
      <c r="L151" s="1541"/>
      <c r="M151" s="1541"/>
      <c r="N151" s="513"/>
      <c r="O151" s="554"/>
      <c r="P151" s="444" t="str">
        <f t="shared" si="18"/>
        <v/>
      </c>
      <c r="Q151" s="397"/>
      <c r="R151" s="397"/>
      <c r="S151" s="397"/>
      <c r="T151" s="397"/>
      <c r="U151" s="397"/>
      <c r="V151" s="397"/>
    </row>
    <row r="152" spans="7:22">
      <c r="G152" s="1540"/>
      <c r="H152"/>
      <c r="I152" s="534"/>
      <c r="J152" s="1541"/>
      <c r="L152" s="1541"/>
      <c r="M152" s="1541"/>
      <c r="N152" s="513"/>
      <c r="O152" s="554"/>
      <c r="P152" s="444" t="str">
        <f t="shared" si="18"/>
        <v/>
      </c>
      <c r="Q152" s="397"/>
      <c r="R152" s="397"/>
      <c r="S152" s="397"/>
      <c r="T152" s="397"/>
      <c r="U152" s="397"/>
      <c r="V152" s="397"/>
    </row>
    <row r="153" spans="7:22">
      <c r="G153" s="1540"/>
      <c r="H153"/>
      <c r="I153" s="534"/>
      <c r="J153" s="1541"/>
      <c r="L153" s="1541"/>
      <c r="M153" s="1541"/>
      <c r="N153" s="513"/>
      <c r="O153" s="554"/>
      <c r="P153" s="444" t="str">
        <f t="shared" si="18"/>
        <v/>
      </c>
      <c r="Q153" s="397"/>
      <c r="R153" s="397"/>
      <c r="S153" s="397"/>
      <c r="T153" s="397"/>
      <c r="U153" s="397"/>
      <c r="V153" s="397"/>
    </row>
    <row r="154" spans="7:22">
      <c r="G154" s="1540"/>
      <c r="H154"/>
      <c r="I154" s="534"/>
      <c r="J154" s="1541"/>
      <c r="L154" s="1541"/>
      <c r="M154" s="1541"/>
      <c r="N154" s="513"/>
      <c r="O154" s="554"/>
      <c r="P154" s="444" t="str">
        <f t="shared" si="18"/>
        <v/>
      </c>
      <c r="Q154" s="397"/>
      <c r="R154" s="397"/>
      <c r="S154" s="397"/>
      <c r="T154" s="397"/>
    </row>
    <row r="155" spans="7:22">
      <c r="G155" s="1540"/>
      <c r="H155"/>
      <c r="I155" s="534"/>
      <c r="J155" s="1541"/>
      <c r="L155" s="1541"/>
      <c r="M155" s="1541"/>
      <c r="N155" s="513"/>
      <c r="O155" s="554"/>
      <c r="P155" s="444" t="str">
        <f t="shared" si="18"/>
        <v/>
      </c>
      <c r="Q155" s="397"/>
      <c r="R155" s="397"/>
      <c r="S155" s="397"/>
      <c r="T155" s="397"/>
    </row>
    <row r="156" spans="7:22">
      <c r="G156" s="1540"/>
      <c r="H156"/>
      <c r="I156" s="534"/>
      <c r="J156" s="1541"/>
      <c r="L156" s="1541"/>
      <c r="M156" s="1541"/>
      <c r="N156" s="513"/>
      <c r="O156" s="554"/>
      <c r="P156" s="444" t="str">
        <f t="shared" si="18"/>
        <v/>
      </c>
      <c r="Q156" s="397"/>
      <c r="R156" s="397"/>
      <c r="S156" s="397"/>
      <c r="T156" s="397"/>
    </row>
    <row r="157" spans="7:22">
      <c r="G157" s="1540"/>
      <c r="H157"/>
      <c r="I157" s="534"/>
      <c r="J157" s="1541"/>
      <c r="L157" s="1541"/>
      <c r="M157" s="1541"/>
      <c r="N157" s="513"/>
      <c r="O157" s="554"/>
      <c r="P157" s="444" t="str">
        <f t="shared" si="18"/>
        <v/>
      </c>
      <c r="Q157" s="397"/>
      <c r="R157" s="397"/>
      <c r="S157" s="397"/>
      <c r="T157" s="397"/>
    </row>
    <row r="158" spans="7:22">
      <c r="G158" s="1540"/>
      <c r="H158"/>
      <c r="I158" s="534"/>
      <c r="J158" s="1541"/>
      <c r="L158" s="1541"/>
      <c r="M158" s="1541"/>
      <c r="N158" s="513"/>
      <c r="O158" s="554"/>
      <c r="P158" s="444" t="str">
        <f t="shared" si="18"/>
        <v/>
      </c>
      <c r="Q158" s="397"/>
      <c r="R158" s="397"/>
      <c r="S158" s="397"/>
      <c r="T158" s="397"/>
    </row>
    <row r="159" spans="7:22">
      <c r="G159" s="1540"/>
      <c r="H159"/>
      <c r="I159" s="534"/>
      <c r="J159" s="1541"/>
      <c r="L159" s="1541"/>
      <c r="M159" s="1541"/>
      <c r="N159" s="513"/>
      <c r="O159" s="554"/>
      <c r="P159" s="444" t="str">
        <f t="shared" si="18"/>
        <v/>
      </c>
      <c r="Q159" s="397"/>
      <c r="R159" s="397"/>
      <c r="S159" s="397"/>
      <c r="T159" s="397"/>
    </row>
    <row r="160" spans="7:22">
      <c r="G160" s="1540"/>
      <c r="H160"/>
      <c r="I160" s="534"/>
      <c r="J160" s="1541"/>
      <c r="L160" s="1541"/>
      <c r="M160" s="1541"/>
      <c r="N160" s="513"/>
      <c r="O160" s="554"/>
      <c r="P160" s="444" t="str">
        <f t="shared" si="18"/>
        <v/>
      </c>
      <c r="Q160" s="397"/>
      <c r="R160" s="397"/>
      <c r="S160" s="397"/>
      <c r="T160" s="397"/>
    </row>
    <row r="161" spans="7:20">
      <c r="G161" s="1540"/>
      <c r="H161"/>
      <c r="I161" s="534"/>
      <c r="J161" s="1541"/>
      <c r="L161" s="1541"/>
      <c r="M161" s="1541"/>
      <c r="N161" s="513"/>
      <c r="O161" s="554"/>
      <c r="P161" s="444" t="str">
        <f t="shared" si="18"/>
        <v/>
      </c>
      <c r="Q161" s="397"/>
      <c r="R161" s="397"/>
      <c r="S161" s="397"/>
      <c r="T161" s="397"/>
    </row>
    <row r="162" spans="7:20">
      <c r="G162" s="1540"/>
      <c r="H162"/>
      <c r="I162" s="534"/>
      <c r="J162" s="1541"/>
      <c r="L162" s="1541"/>
      <c r="M162" s="1541"/>
      <c r="N162" s="513"/>
      <c r="O162" s="554"/>
      <c r="P162" s="444" t="str">
        <f t="shared" si="18"/>
        <v/>
      </c>
      <c r="Q162" s="397"/>
      <c r="R162" s="397"/>
      <c r="S162" s="397"/>
      <c r="T162" s="397"/>
    </row>
    <row r="163" spans="7:20">
      <c r="G163" s="1540"/>
      <c r="H163"/>
      <c r="I163" s="534"/>
      <c r="J163" s="1541"/>
      <c r="L163" s="1541"/>
      <c r="M163" s="1541"/>
      <c r="N163" s="513"/>
      <c r="O163" s="554"/>
      <c r="P163" s="444" t="str">
        <f t="shared" si="18"/>
        <v/>
      </c>
      <c r="Q163" s="397"/>
      <c r="R163" s="397"/>
      <c r="S163" s="397"/>
      <c r="T163" s="397"/>
    </row>
    <row r="164" spans="7:20">
      <c r="G164" s="1540"/>
      <c r="H164"/>
      <c r="I164" s="534"/>
      <c r="J164" s="1541"/>
      <c r="L164" s="1541"/>
      <c r="M164" s="1541"/>
      <c r="N164" s="513"/>
      <c r="O164" s="554"/>
      <c r="P164" s="444" t="str">
        <f t="shared" si="18"/>
        <v/>
      </c>
      <c r="Q164" s="397"/>
      <c r="R164" s="397"/>
      <c r="S164" s="397"/>
      <c r="T164" s="397"/>
    </row>
    <row r="165" spans="7:20">
      <c r="G165" s="1540"/>
      <c r="H165"/>
      <c r="I165" s="534"/>
      <c r="J165" s="1541"/>
      <c r="L165" s="1541"/>
      <c r="M165" s="1541"/>
      <c r="N165" s="513"/>
      <c r="O165" s="554"/>
      <c r="P165" s="444" t="str">
        <f t="shared" si="18"/>
        <v/>
      </c>
      <c r="Q165" s="397"/>
      <c r="R165" s="397"/>
      <c r="S165" s="397"/>
      <c r="T165" s="397"/>
    </row>
    <row r="166" spans="7:20">
      <c r="G166" s="1540"/>
      <c r="H166"/>
      <c r="I166" s="534"/>
      <c r="J166" s="1541"/>
      <c r="L166" s="1541"/>
      <c r="M166" s="1541"/>
      <c r="N166" s="513"/>
      <c r="O166" s="554"/>
      <c r="P166" s="444" t="str">
        <f t="shared" si="18"/>
        <v/>
      </c>
      <c r="Q166" s="397"/>
      <c r="R166" s="397"/>
      <c r="S166" s="397"/>
      <c r="T166" s="397"/>
    </row>
    <row r="167" spans="7:20">
      <c r="G167" s="1540"/>
      <c r="H167"/>
      <c r="I167" s="534"/>
      <c r="J167" s="1541"/>
      <c r="L167" s="1541"/>
      <c r="M167" s="1541"/>
      <c r="N167" s="513"/>
      <c r="O167" s="554"/>
      <c r="P167" s="444" t="str">
        <f t="shared" si="18"/>
        <v/>
      </c>
      <c r="Q167" s="397"/>
      <c r="R167" s="397"/>
      <c r="S167" s="397"/>
      <c r="T167" s="397"/>
    </row>
    <row r="168" spans="7:20">
      <c r="G168" s="1540"/>
      <c r="H168"/>
      <c r="I168" s="534"/>
      <c r="J168" s="1541"/>
      <c r="L168" s="1541"/>
      <c r="M168" s="1541"/>
      <c r="N168" s="513"/>
      <c r="O168" s="554"/>
      <c r="P168" s="444" t="str">
        <f t="shared" si="18"/>
        <v/>
      </c>
      <c r="Q168" s="397"/>
      <c r="R168" s="397"/>
      <c r="S168" s="397"/>
      <c r="T168" s="397"/>
    </row>
    <row r="169" spans="7:20">
      <c r="G169" s="1540"/>
      <c r="H169"/>
      <c r="I169" s="534"/>
      <c r="J169" s="1541"/>
      <c r="L169" s="1541"/>
      <c r="M169" s="1541"/>
      <c r="N169" s="513"/>
      <c r="O169" s="554"/>
      <c r="P169" s="444" t="str">
        <f t="shared" si="18"/>
        <v/>
      </c>
      <c r="Q169" s="397"/>
      <c r="R169" s="397"/>
      <c r="S169" s="397"/>
      <c r="T169" s="397"/>
    </row>
    <row r="170" spans="7:20">
      <c r="G170" s="1540"/>
      <c r="H170"/>
      <c r="I170" s="534"/>
      <c r="J170" s="1541"/>
      <c r="L170" s="1541"/>
      <c r="M170" s="1541"/>
      <c r="N170" s="513"/>
      <c r="O170" s="554"/>
      <c r="P170" s="444" t="str">
        <f t="shared" si="18"/>
        <v/>
      </c>
      <c r="Q170" s="397"/>
      <c r="R170" s="397"/>
      <c r="S170" s="397"/>
      <c r="T170" s="397"/>
    </row>
    <row r="171" spans="7:20">
      <c r="G171" s="1540"/>
      <c r="H171"/>
      <c r="I171" s="534"/>
      <c r="J171" s="1541"/>
      <c r="L171" s="1541"/>
      <c r="M171" s="1541"/>
      <c r="N171" s="513"/>
      <c r="O171" s="554"/>
      <c r="P171" s="444" t="str">
        <f t="shared" si="18"/>
        <v/>
      </c>
      <c r="Q171" s="397"/>
      <c r="R171" s="397"/>
      <c r="S171" s="397"/>
      <c r="T171" s="397"/>
    </row>
    <row r="172" spans="7:20">
      <c r="G172" s="1540"/>
      <c r="H172"/>
      <c r="I172" s="534"/>
      <c r="J172" s="1541"/>
      <c r="L172" s="1541"/>
      <c r="M172" s="1541"/>
      <c r="N172" s="513"/>
      <c r="O172" s="554"/>
      <c r="P172" s="444" t="str">
        <f t="shared" si="18"/>
        <v/>
      </c>
      <c r="Q172" s="397"/>
      <c r="R172" s="397"/>
      <c r="S172" s="397"/>
      <c r="T172" s="397"/>
    </row>
    <row r="173" spans="7:20">
      <c r="G173" s="1540"/>
      <c r="H173"/>
      <c r="I173" s="534"/>
      <c r="J173" s="1541"/>
      <c r="L173" s="1541"/>
      <c r="M173" s="1541"/>
      <c r="N173" s="513"/>
      <c r="O173" s="554"/>
      <c r="P173" s="444" t="str">
        <f t="shared" si="18"/>
        <v/>
      </c>
      <c r="Q173" s="397"/>
      <c r="R173" s="397"/>
      <c r="S173" s="397"/>
      <c r="T173" s="397"/>
    </row>
    <row r="174" spans="7:20">
      <c r="G174" s="1540"/>
      <c r="H174"/>
      <c r="I174" s="534"/>
      <c r="J174" s="1541"/>
      <c r="L174" s="1541"/>
      <c r="M174" s="1541"/>
      <c r="N174" s="513"/>
      <c r="O174" s="554"/>
      <c r="P174" s="444" t="str">
        <f t="shared" si="18"/>
        <v/>
      </c>
      <c r="Q174" s="397"/>
      <c r="R174" s="397"/>
      <c r="S174" s="397"/>
      <c r="T174" s="397"/>
    </row>
    <row r="175" spans="7:20">
      <c r="G175" s="1540"/>
      <c r="H175"/>
      <c r="I175" s="534"/>
      <c r="J175" s="1541"/>
      <c r="L175" s="1541"/>
      <c r="M175" s="1541"/>
      <c r="N175" s="513"/>
      <c r="O175" s="554"/>
      <c r="P175" s="444" t="str">
        <f t="shared" si="18"/>
        <v/>
      </c>
      <c r="Q175" s="397"/>
      <c r="R175" s="397"/>
      <c r="S175" s="397"/>
      <c r="T175" s="397"/>
    </row>
    <row r="176" spans="7:20">
      <c r="G176" s="1540"/>
      <c r="H176"/>
      <c r="I176" s="534"/>
      <c r="J176" s="1541"/>
      <c r="L176" s="1541"/>
      <c r="M176" s="1541"/>
      <c r="N176" s="513"/>
      <c r="O176" s="554"/>
      <c r="P176" s="444" t="str">
        <f t="shared" si="18"/>
        <v/>
      </c>
      <c r="Q176" s="397"/>
      <c r="R176" s="397"/>
      <c r="S176" s="397"/>
      <c r="T176" s="397"/>
    </row>
    <row r="177" spans="7:20">
      <c r="G177" s="1540"/>
      <c r="H177"/>
      <c r="I177" s="534"/>
      <c r="J177" s="1541"/>
      <c r="L177" s="1541"/>
      <c r="M177" s="1541"/>
      <c r="N177" s="513"/>
      <c r="O177" s="554"/>
      <c r="P177" s="444" t="str">
        <f t="shared" si="18"/>
        <v/>
      </c>
      <c r="Q177" s="397"/>
      <c r="R177" s="397"/>
      <c r="S177" s="397"/>
      <c r="T177" s="397"/>
    </row>
    <row r="178" spans="7:20">
      <c r="G178" s="1540"/>
      <c r="H178"/>
      <c r="I178" s="534"/>
      <c r="J178" s="1541"/>
      <c r="L178" s="1541"/>
      <c r="M178" s="1541"/>
      <c r="N178" s="513"/>
      <c r="O178" s="554"/>
      <c r="P178" s="444" t="str">
        <f t="shared" si="18"/>
        <v/>
      </c>
      <c r="Q178" s="397"/>
      <c r="R178" s="397"/>
      <c r="S178" s="397"/>
      <c r="T178" s="397"/>
    </row>
    <row r="179" spans="7:20">
      <c r="G179" s="1540"/>
      <c r="H179"/>
      <c r="I179" s="534"/>
      <c r="J179" s="1541"/>
      <c r="L179" s="1541"/>
      <c r="M179" s="1541"/>
      <c r="N179" s="513"/>
      <c r="O179" s="554"/>
      <c r="P179" s="444" t="str">
        <f t="shared" si="18"/>
        <v/>
      </c>
      <c r="Q179" s="397"/>
      <c r="R179" s="397"/>
      <c r="S179" s="397"/>
      <c r="T179" s="397"/>
    </row>
    <row r="180" spans="7:20">
      <c r="G180" s="1540"/>
      <c r="H180"/>
      <c r="I180" s="534"/>
      <c r="J180" s="1541"/>
      <c r="L180" s="1541"/>
      <c r="M180" s="1541"/>
      <c r="N180" s="513"/>
      <c r="O180" s="554"/>
      <c r="P180" s="444" t="str">
        <f t="shared" si="18"/>
        <v/>
      </c>
      <c r="Q180" s="397"/>
      <c r="R180" s="397"/>
      <c r="S180" s="397"/>
      <c r="T180" s="397"/>
    </row>
    <row r="181" spans="7:20">
      <c r="G181" s="1540"/>
      <c r="H181"/>
      <c r="I181" s="534"/>
      <c r="J181" s="1541"/>
      <c r="L181" s="1541"/>
      <c r="M181" s="1541"/>
      <c r="N181" s="513"/>
      <c r="O181" s="554"/>
      <c r="P181" s="444" t="str">
        <f t="shared" si="18"/>
        <v/>
      </c>
      <c r="Q181" s="397"/>
      <c r="R181" s="397"/>
      <c r="S181" s="397"/>
      <c r="T181" s="397"/>
    </row>
    <row r="182" spans="7:20">
      <c r="G182" s="1540"/>
      <c r="H182"/>
      <c r="I182" s="534"/>
      <c r="J182" s="1541"/>
      <c r="L182" s="1541"/>
      <c r="M182" s="1541"/>
      <c r="N182" s="513"/>
      <c r="O182" s="554"/>
      <c r="P182" s="444" t="str">
        <f t="shared" si="18"/>
        <v/>
      </c>
      <c r="Q182" s="397"/>
      <c r="R182" s="397"/>
      <c r="S182" s="397"/>
      <c r="T182" s="397"/>
    </row>
    <row r="183" spans="7:20">
      <c r="G183" s="1540"/>
      <c r="H183"/>
      <c r="I183" s="534"/>
      <c r="J183" s="1541"/>
      <c r="L183" s="1541"/>
      <c r="M183" s="1541"/>
      <c r="N183" s="513"/>
      <c r="O183" s="554"/>
      <c r="P183" s="444" t="str">
        <f t="shared" si="18"/>
        <v/>
      </c>
      <c r="Q183" s="397"/>
      <c r="R183" s="397"/>
      <c r="S183" s="397"/>
      <c r="T183" s="397"/>
    </row>
    <row r="184" spans="7:20">
      <c r="G184" s="1540"/>
      <c r="H184"/>
      <c r="I184" s="534"/>
      <c r="J184" s="1541"/>
      <c r="L184" s="1541"/>
      <c r="M184" s="1541"/>
      <c r="N184" s="513"/>
      <c r="O184" s="554"/>
      <c r="P184" s="444" t="str">
        <f t="shared" si="18"/>
        <v/>
      </c>
      <c r="Q184" s="397"/>
      <c r="R184" s="397"/>
      <c r="S184" s="397"/>
      <c r="T184" s="397"/>
    </row>
    <row r="185" spans="7:20">
      <c r="G185" s="1540"/>
      <c r="H185"/>
      <c r="I185" s="534"/>
      <c r="J185" s="1541"/>
      <c r="L185" s="1541"/>
      <c r="M185" s="1541"/>
      <c r="N185" s="513"/>
      <c r="O185" s="554"/>
      <c r="P185" s="444" t="str">
        <f t="shared" si="18"/>
        <v/>
      </c>
      <c r="Q185" s="397"/>
      <c r="R185" s="397"/>
      <c r="S185" s="397"/>
      <c r="T185" s="397"/>
    </row>
    <row r="186" spans="7:20">
      <c r="G186" s="1540"/>
      <c r="H186"/>
      <c r="I186" s="534"/>
      <c r="J186" s="1541"/>
      <c r="L186" s="1541"/>
      <c r="M186" s="1541"/>
      <c r="N186" s="513"/>
      <c r="O186" s="554"/>
      <c r="P186" s="444" t="str">
        <f t="shared" si="18"/>
        <v/>
      </c>
      <c r="Q186" s="397"/>
      <c r="R186" s="397"/>
      <c r="S186" s="397"/>
      <c r="T186" s="397"/>
    </row>
    <row r="187" spans="7:20">
      <c r="G187" s="1540"/>
      <c r="H187"/>
      <c r="I187" s="534"/>
      <c r="J187" s="1541"/>
      <c r="L187" s="1541"/>
      <c r="M187" s="1541"/>
      <c r="N187" s="513"/>
      <c r="O187" s="554"/>
      <c r="P187" s="444" t="str">
        <f t="shared" si="18"/>
        <v/>
      </c>
      <c r="Q187" s="397"/>
      <c r="R187" s="397"/>
      <c r="S187" s="397"/>
      <c r="T187" s="397"/>
    </row>
    <row r="188" spans="7:20">
      <c r="G188" s="1540"/>
      <c r="H188"/>
      <c r="I188" s="534"/>
      <c r="J188" s="1541"/>
      <c r="L188" s="1541"/>
      <c r="M188" s="1541"/>
      <c r="N188" s="513"/>
      <c r="O188" s="554"/>
      <c r="P188" s="444" t="str">
        <f t="shared" si="18"/>
        <v/>
      </c>
      <c r="Q188" s="397"/>
      <c r="R188" s="397"/>
      <c r="S188" s="397"/>
      <c r="T188" s="397"/>
    </row>
    <row r="189" spans="7:20">
      <c r="G189" s="1540"/>
      <c r="H189"/>
      <c r="I189" s="534"/>
      <c r="J189" s="1541"/>
      <c r="L189" s="1541"/>
      <c r="M189" s="1541"/>
      <c r="N189" s="513"/>
      <c r="O189" s="554"/>
      <c r="P189" s="444" t="str">
        <f t="shared" si="18"/>
        <v/>
      </c>
      <c r="Q189" s="397"/>
      <c r="R189" s="397"/>
      <c r="S189" s="397"/>
      <c r="T189" s="397"/>
    </row>
    <row r="190" spans="7:20">
      <c r="G190" s="1540"/>
      <c r="H190"/>
      <c r="I190" s="534"/>
      <c r="J190" s="1541"/>
      <c r="L190" s="1541"/>
      <c r="M190" s="1541"/>
      <c r="N190" s="513"/>
      <c r="O190" s="554"/>
      <c r="P190" s="444" t="str">
        <f t="shared" si="18"/>
        <v/>
      </c>
      <c r="Q190" s="397"/>
      <c r="R190" s="397"/>
      <c r="S190" s="397"/>
      <c r="T190" s="397"/>
    </row>
    <row r="191" spans="7:20">
      <c r="G191" s="1540"/>
      <c r="H191"/>
      <c r="I191" s="534"/>
      <c r="J191" s="1541"/>
      <c r="L191" s="1541"/>
      <c r="M191" s="1541"/>
      <c r="N191" s="513"/>
      <c r="O191" s="554"/>
      <c r="P191" s="444" t="str">
        <f t="shared" si="18"/>
        <v/>
      </c>
      <c r="Q191" s="397"/>
      <c r="R191" s="397"/>
      <c r="S191" s="397"/>
      <c r="T191" s="397"/>
    </row>
    <row r="192" spans="7:20">
      <c r="G192" s="1540"/>
      <c r="H192"/>
      <c r="I192" s="534"/>
      <c r="J192" s="1541"/>
      <c r="L192" s="1541"/>
      <c r="M192" s="1541"/>
      <c r="N192" s="513"/>
      <c r="O192" s="554"/>
      <c r="P192" s="444" t="str">
        <f t="shared" si="18"/>
        <v/>
      </c>
      <c r="Q192" s="397"/>
      <c r="R192" s="397"/>
      <c r="S192" s="397"/>
      <c r="T192" s="397"/>
    </row>
    <row r="193" spans="7:20">
      <c r="G193" s="1540"/>
      <c r="H193"/>
      <c r="I193" s="534"/>
      <c r="J193" s="1541"/>
      <c r="L193" s="1541"/>
      <c r="M193" s="1541"/>
      <c r="N193" s="513"/>
      <c r="O193" s="554"/>
      <c r="P193" s="444" t="str">
        <f t="shared" si="18"/>
        <v/>
      </c>
      <c r="Q193" s="397"/>
      <c r="R193" s="397"/>
      <c r="S193" s="397"/>
      <c r="T193" s="397"/>
    </row>
    <row r="194" spans="7:20">
      <c r="G194" s="1540"/>
      <c r="H194"/>
      <c r="I194" s="534"/>
      <c r="J194" s="1541"/>
      <c r="L194" s="1541"/>
      <c r="M194" s="1541"/>
      <c r="N194" s="513"/>
      <c r="O194" s="554"/>
      <c r="P194" s="444" t="str">
        <f t="shared" si="18"/>
        <v/>
      </c>
      <c r="Q194" s="397"/>
      <c r="R194" s="397"/>
      <c r="S194" s="397"/>
      <c r="T194" s="397"/>
    </row>
    <row r="195" spans="7:20">
      <c r="G195" s="1540"/>
      <c r="H195"/>
      <c r="I195" s="534"/>
      <c r="J195" s="1541"/>
      <c r="L195" s="1541"/>
      <c r="M195" s="1541"/>
      <c r="N195" s="513"/>
      <c r="O195" s="554"/>
      <c r="P195" s="444" t="str">
        <f t="shared" si="18"/>
        <v/>
      </c>
      <c r="Q195" s="397"/>
      <c r="R195" s="397"/>
      <c r="S195" s="397"/>
      <c r="T195" s="397"/>
    </row>
    <row r="196" spans="7:20">
      <c r="G196" s="1540"/>
      <c r="H196"/>
      <c r="I196" s="534"/>
      <c r="J196" s="1541"/>
      <c r="L196" s="1541"/>
      <c r="M196" s="1541"/>
      <c r="N196" s="513"/>
      <c r="O196" s="554"/>
      <c r="P196" s="444" t="str">
        <f t="shared" si="18"/>
        <v/>
      </c>
      <c r="Q196" s="397"/>
      <c r="R196" s="397"/>
      <c r="S196" s="397"/>
      <c r="T196" s="397"/>
    </row>
    <row r="197" spans="7:20">
      <c r="G197" s="1540"/>
      <c r="H197"/>
      <c r="I197" s="534"/>
      <c r="J197" s="1541"/>
      <c r="L197" s="1541"/>
      <c r="M197" s="1541"/>
      <c r="N197" s="513"/>
      <c r="O197" s="554"/>
      <c r="P197" s="444" t="str">
        <f t="shared" si="18"/>
        <v/>
      </c>
      <c r="Q197" s="397"/>
      <c r="R197" s="397"/>
      <c r="S197" s="397"/>
      <c r="T197" s="397"/>
    </row>
    <row r="198" spans="7:20">
      <c r="G198" s="1540"/>
      <c r="H198"/>
      <c r="I198" s="534"/>
      <c r="J198" s="1541"/>
      <c r="L198" s="1541"/>
      <c r="M198" s="1541"/>
      <c r="N198" s="513"/>
      <c r="O198" s="554"/>
      <c r="P198" s="444" t="str">
        <f t="shared" si="18"/>
        <v/>
      </c>
      <c r="Q198" s="397"/>
      <c r="R198" s="397"/>
      <c r="S198" s="397"/>
      <c r="T198" s="397"/>
    </row>
    <row r="199" spans="7:20">
      <c r="G199" s="1540"/>
      <c r="H199"/>
      <c r="I199" s="534"/>
      <c r="J199" s="1541"/>
      <c r="L199" s="1541"/>
      <c r="M199" s="1541"/>
      <c r="N199" s="513"/>
      <c r="O199" s="554"/>
      <c r="P199" s="444" t="str">
        <f t="shared" si="18"/>
        <v/>
      </c>
      <c r="Q199" s="397"/>
      <c r="R199" s="397"/>
      <c r="S199" s="397"/>
      <c r="T199" s="397"/>
    </row>
    <row r="200" spans="7:20">
      <c r="G200" s="1540"/>
      <c r="H200"/>
      <c r="I200" s="534"/>
      <c r="J200" s="1541"/>
      <c r="L200" s="1541"/>
      <c r="M200" s="1541"/>
      <c r="N200" s="513"/>
      <c r="O200" s="554"/>
      <c r="P200" s="444" t="str">
        <f t="shared" si="18"/>
        <v/>
      </c>
      <c r="Q200" s="397"/>
      <c r="R200" s="397"/>
      <c r="S200" s="397"/>
      <c r="T200" s="397"/>
    </row>
    <row r="201" spans="7:20">
      <c r="G201" s="1540"/>
      <c r="H201"/>
      <c r="I201" s="534"/>
      <c r="J201" s="1541"/>
      <c r="L201" s="1541"/>
      <c r="M201" s="1541"/>
      <c r="N201" s="513"/>
      <c r="O201" s="554"/>
      <c r="P201" s="444" t="str">
        <f t="shared" si="18"/>
        <v/>
      </c>
      <c r="Q201" s="397"/>
      <c r="R201" s="397"/>
      <c r="S201" s="397"/>
      <c r="T201" s="397"/>
    </row>
    <row r="202" spans="7:20">
      <c r="G202" s="1540"/>
      <c r="H202"/>
      <c r="I202" s="534"/>
      <c r="J202" s="1541"/>
      <c r="L202" s="1541"/>
      <c r="M202" s="1541"/>
      <c r="N202" s="513"/>
      <c r="O202" s="554"/>
      <c r="P202" s="444" t="str">
        <f t="shared" si="18"/>
        <v/>
      </c>
      <c r="Q202" s="397"/>
      <c r="R202" s="397"/>
      <c r="S202" s="397"/>
      <c r="T202" s="397"/>
    </row>
    <row r="203" spans="7:20">
      <c r="G203" s="1540"/>
      <c r="H203"/>
      <c r="I203" s="534"/>
      <c r="J203" s="1541"/>
      <c r="L203" s="1541"/>
      <c r="M203" s="1541"/>
      <c r="N203" s="513"/>
      <c r="O203" s="554"/>
      <c r="P203" s="444" t="str">
        <f t="shared" si="18"/>
        <v/>
      </c>
      <c r="Q203" s="397"/>
      <c r="R203" s="397"/>
      <c r="S203" s="397"/>
      <c r="T203" s="397"/>
    </row>
    <row r="204" spans="7:20">
      <c r="G204" s="1540"/>
      <c r="H204"/>
      <c r="I204" s="534"/>
      <c r="J204" s="1541"/>
      <c r="L204" s="1541"/>
      <c r="M204" s="1541"/>
      <c r="N204" s="513"/>
      <c r="O204" s="554"/>
      <c r="P204" s="444" t="str">
        <f t="shared" si="18"/>
        <v/>
      </c>
      <c r="Q204" s="397"/>
      <c r="R204" s="397"/>
      <c r="S204" s="397"/>
      <c r="T204" s="397"/>
    </row>
    <row r="205" spans="7:20">
      <c r="G205" s="1540"/>
      <c r="H205"/>
      <c r="I205" s="534"/>
      <c r="J205" s="1541"/>
      <c r="L205" s="1541"/>
      <c r="M205" s="1541"/>
      <c r="N205" s="513"/>
      <c r="O205" s="554"/>
      <c r="P205" s="444" t="str">
        <f t="shared" ref="P205:P268" si="19">IFERROR(INDEX($A$12:$A$36,MATCH($N205,$D$12:$D$36,0)),"")</f>
        <v/>
      </c>
      <c r="Q205" s="397"/>
      <c r="R205" s="397"/>
      <c r="S205" s="397"/>
      <c r="T205" s="397"/>
    </row>
    <row r="206" spans="7:20">
      <c r="G206" s="1540"/>
      <c r="H206"/>
      <c r="I206" s="534"/>
      <c r="J206" s="1541"/>
      <c r="L206" s="1541"/>
      <c r="M206" s="1541"/>
      <c r="N206" s="513"/>
      <c r="O206" s="554"/>
      <c r="P206" s="444" t="str">
        <f t="shared" si="19"/>
        <v/>
      </c>
      <c r="Q206" s="397"/>
      <c r="R206" s="397"/>
      <c r="S206" s="397"/>
      <c r="T206" s="397"/>
    </row>
    <row r="207" spans="7:20">
      <c r="G207" s="1540"/>
      <c r="H207"/>
      <c r="I207" s="534"/>
      <c r="J207" s="1541"/>
      <c r="L207" s="1541"/>
      <c r="M207" s="1541"/>
      <c r="N207" s="513"/>
      <c r="O207" s="554"/>
      <c r="P207" s="444" t="str">
        <f t="shared" si="19"/>
        <v/>
      </c>
      <c r="Q207" s="397"/>
      <c r="R207" s="397"/>
      <c r="S207" s="397"/>
      <c r="T207" s="397"/>
    </row>
    <row r="208" spans="7:20">
      <c r="G208" s="1540"/>
      <c r="H208"/>
      <c r="I208" s="534"/>
      <c r="J208" s="1541"/>
      <c r="L208" s="1541"/>
      <c r="M208" s="1541"/>
      <c r="N208" s="513"/>
      <c r="O208" s="554"/>
      <c r="P208" s="444" t="str">
        <f t="shared" si="19"/>
        <v/>
      </c>
      <c r="Q208" s="397"/>
      <c r="R208" s="397"/>
      <c r="S208" s="397"/>
      <c r="T208" s="397"/>
    </row>
    <row r="209" spans="7:20">
      <c r="G209" s="1540"/>
      <c r="H209"/>
      <c r="I209" s="534"/>
      <c r="J209" s="1541"/>
      <c r="L209" s="1541"/>
      <c r="M209" s="1541"/>
      <c r="N209" s="513"/>
      <c r="O209" s="554"/>
      <c r="P209" s="444" t="str">
        <f t="shared" si="19"/>
        <v/>
      </c>
      <c r="Q209" s="397"/>
      <c r="R209" s="397"/>
      <c r="S209" s="397"/>
      <c r="T209" s="397"/>
    </row>
    <row r="210" spans="7:20">
      <c r="G210" s="1540"/>
      <c r="H210"/>
      <c r="I210" s="534"/>
      <c r="J210" s="1541"/>
      <c r="L210" s="1541"/>
      <c r="M210" s="1541"/>
      <c r="N210" s="513"/>
      <c r="O210" s="554"/>
      <c r="P210" s="444" t="str">
        <f t="shared" si="19"/>
        <v/>
      </c>
      <c r="Q210" s="397"/>
      <c r="R210" s="397"/>
      <c r="S210" s="397"/>
      <c r="T210" s="397"/>
    </row>
    <row r="211" spans="7:20">
      <c r="G211" s="1540"/>
      <c r="H211"/>
      <c r="I211" s="534"/>
      <c r="J211" s="1541"/>
      <c r="L211" s="1541"/>
      <c r="M211" s="1541"/>
      <c r="N211" s="513"/>
      <c r="O211" s="554"/>
      <c r="P211" s="444" t="str">
        <f t="shared" si="19"/>
        <v/>
      </c>
      <c r="Q211" s="397"/>
      <c r="R211" s="397"/>
      <c r="S211" s="397"/>
      <c r="T211" s="397"/>
    </row>
    <row r="212" spans="7:20">
      <c r="G212" s="1540"/>
      <c r="H212"/>
      <c r="I212" s="534"/>
      <c r="J212" s="1541"/>
      <c r="L212" s="1541"/>
      <c r="M212" s="1541"/>
      <c r="N212" s="513"/>
      <c r="O212" s="554"/>
      <c r="P212" s="444" t="str">
        <f t="shared" si="19"/>
        <v/>
      </c>
      <c r="Q212" s="397"/>
      <c r="R212" s="397"/>
      <c r="S212" s="397"/>
      <c r="T212" s="397"/>
    </row>
    <row r="213" spans="7:20">
      <c r="G213" s="1540"/>
      <c r="H213"/>
      <c r="I213" s="534"/>
      <c r="J213" s="1541"/>
      <c r="L213" s="1541"/>
      <c r="M213" s="1541"/>
      <c r="N213" s="513"/>
      <c r="O213" s="554"/>
      <c r="P213" s="444" t="str">
        <f t="shared" si="19"/>
        <v/>
      </c>
      <c r="Q213" s="397"/>
      <c r="R213" s="397"/>
      <c r="S213" s="397"/>
      <c r="T213" s="397"/>
    </row>
    <row r="214" spans="7:20">
      <c r="G214" s="1540"/>
      <c r="H214"/>
      <c r="I214" s="534"/>
      <c r="J214" s="1541"/>
      <c r="L214" s="1541"/>
      <c r="M214" s="1541"/>
      <c r="N214" s="513"/>
      <c r="O214" s="554"/>
      <c r="P214" s="444" t="str">
        <f t="shared" si="19"/>
        <v/>
      </c>
      <c r="Q214" s="397"/>
      <c r="R214" s="397"/>
      <c r="S214" s="397"/>
      <c r="T214" s="397"/>
    </row>
    <row r="215" spans="7:20">
      <c r="G215" s="1540"/>
      <c r="H215"/>
      <c r="I215" s="534"/>
      <c r="J215" s="1541"/>
      <c r="L215" s="1541"/>
      <c r="M215" s="1541"/>
      <c r="N215" s="513"/>
      <c r="O215" s="554"/>
      <c r="P215" s="444" t="str">
        <f t="shared" si="19"/>
        <v/>
      </c>
      <c r="Q215" s="397"/>
      <c r="R215" s="397"/>
      <c r="S215" s="397"/>
      <c r="T215" s="397"/>
    </row>
    <row r="216" spans="7:20">
      <c r="G216" s="1540"/>
      <c r="H216"/>
      <c r="I216" s="534"/>
      <c r="J216" s="1541"/>
      <c r="L216" s="1541"/>
      <c r="M216" s="1541"/>
      <c r="N216" s="513"/>
      <c r="O216" s="554"/>
      <c r="P216" s="444" t="str">
        <f t="shared" si="19"/>
        <v/>
      </c>
      <c r="Q216" s="397"/>
      <c r="R216" s="397"/>
      <c r="S216" s="397"/>
      <c r="T216" s="397"/>
    </row>
    <row r="217" spans="7:20">
      <c r="G217" s="1540"/>
      <c r="H217"/>
      <c r="I217" s="534"/>
      <c r="J217" s="1541"/>
      <c r="L217" s="1541"/>
      <c r="M217" s="1541"/>
      <c r="N217" s="513"/>
      <c r="O217" s="554"/>
      <c r="P217" s="444" t="str">
        <f t="shared" si="19"/>
        <v/>
      </c>
      <c r="Q217" s="397"/>
      <c r="R217" s="397"/>
      <c r="S217" s="397"/>
      <c r="T217" s="397"/>
    </row>
    <row r="218" spans="7:20">
      <c r="G218" s="1540"/>
      <c r="H218"/>
      <c r="I218" s="534"/>
      <c r="J218" s="1541"/>
      <c r="L218" s="1541"/>
      <c r="M218" s="1541"/>
      <c r="N218" s="513"/>
      <c r="O218" s="554"/>
      <c r="P218" s="444" t="str">
        <f t="shared" si="19"/>
        <v/>
      </c>
      <c r="Q218" s="397"/>
      <c r="R218" s="397"/>
      <c r="S218" s="397"/>
      <c r="T218" s="397"/>
    </row>
    <row r="219" spans="7:20">
      <c r="G219" s="1540"/>
      <c r="H219"/>
      <c r="I219" s="534"/>
      <c r="J219" s="1541"/>
      <c r="L219" s="1541"/>
      <c r="M219" s="1541"/>
      <c r="N219" s="513"/>
      <c r="O219" s="554"/>
      <c r="P219" s="444" t="str">
        <f t="shared" si="19"/>
        <v/>
      </c>
      <c r="Q219" s="397"/>
      <c r="R219" s="397"/>
      <c r="S219" s="397"/>
      <c r="T219" s="397"/>
    </row>
    <row r="220" spans="7:20">
      <c r="G220" s="1540"/>
      <c r="H220"/>
      <c r="I220" s="534"/>
      <c r="J220" s="1541"/>
      <c r="L220" s="1541"/>
      <c r="M220" s="1541"/>
      <c r="N220" s="513"/>
      <c r="O220" s="554"/>
      <c r="P220" s="444" t="str">
        <f t="shared" si="19"/>
        <v/>
      </c>
      <c r="Q220" s="397"/>
      <c r="R220" s="397"/>
      <c r="S220" s="397"/>
      <c r="T220" s="397"/>
    </row>
    <row r="221" spans="7:20">
      <c r="G221" s="1540"/>
      <c r="H221"/>
      <c r="I221" s="534"/>
      <c r="J221" s="1541"/>
      <c r="L221" s="1541"/>
      <c r="M221" s="1541"/>
      <c r="N221" s="513"/>
      <c r="O221" s="554"/>
      <c r="P221" s="444" t="str">
        <f t="shared" si="19"/>
        <v/>
      </c>
      <c r="Q221" s="397"/>
      <c r="R221" s="397"/>
      <c r="S221" s="397"/>
      <c r="T221" s="397"/>
    </row>
    <row r="222" spans="7:20">
      <c r="G222" s="1540"/>
      <c r="H222"/>
      <c r="I222" s="534"/>
      <c r="J222" s="1541"/>
      <c r="L222" s="1541"/>
      <c r="M222" s="1541"/>
      <c r="N222" s="513"/>
      <c r="O222" s="554"/>
      <c r="P222" s="444" t="str">
        <f t="shared" si="19"/>
        <v/>
      </c>
      <c r="Q222" s="397"/>
      <c r="R222" s="397"/>
      <c r="S222" s="397"/>
      <c r="T222" s="397"/>
    </row>
    <row r="223" spans="7:20">
      <c r="G223" s="1540"/>
      <c r="H223"/>
      <c r="I223" s="534"/>
      <c r="J223" s="1541"/>
      <c r="L223" s="1541"/>
      <c r="M223" s="1541"/>
      <c r="N223" s="513"/>
      <c r="O223" s="554"/>
      <c r="P223" s="444" t="str">
        <f t="shared" si="19"/>
        <v/>
      </c>
      <c r="Q223" s="397"/>
      <c r="R223" s="397"/>
      <c r="S223" s="397"/>
      <c r="T223" s="397"/>
    </row>
    <row r="224" spans="7:20">
      <c r="G224" s="1540"/>
      <c r="H224"/>
      <c r="I224" s="534"/>
      <c r="J224" s="1541"/>
      <c r="L224" s="1541"/>
      <c r="M224" s="1541"/>
      <c r="N224" s="513"/>
      <c r="O224" s="554"/>
      <c r="P224" s="444" t="str">
        <f t="shared" si="19"/>
        <v/>
      </c>
      <c r="Q224" s="397"/>
      <c r="R224" s="397"/>
      <c r="S224" s="397"/>
      <c r="T224" s="397"/>
    </row>
    <row r="225" spans="7:20">
      <c r="G225" s="1540"/>
      <c r="H225"/>
      <c r="I225" s="534"/>
      <c r="J225" s="1541"/>
      <c r="L225" s="1541"/>
      <c r="M225" s="1541"/>
      <c r="N225" s="513"/>
      <c r="O225" s="554"/>
      <c r="P225" s="444" t="str">
        <f t="shared" si="19"/>
        <v/>
      </c>
      <c r="Q225" s="397"/>
      <c r="R225" s="397"/>
      <c r="S225" s="397"/>
      <c r="T225" s="397"/>
    </row>
    <row r="226" spans="7:20">
      <c r="G226" s="1540"/>
      <c r="H226"/>
      <c r="I226" s="534"/>
      <c r="J226" s="1541"/>
      <c r="L226" s="1541"/>
      <c r="M226" s="1541"/>
      <c r="N226" s="513"/>
      <c r="O226" s="554"/>
      <c r="P226" s="444" t="str">
        <f t="shared" si="19"/>
        <v/>
      </c>
      <c r="Q226" s="397"/>
      <c r="R226" s="397"/>
      <c r="S226" s="397"/>
      <c r="T226" s="397"/>
    </row>
    <row r="227" spans="7:20">
      <c r="G227" s="1540"/>
      <c r="H227"/>
      <c r="I227" s="534"/>
      <c r="J227" s="1541"/>
      <c r="L227" s="1541"/>
      <c r="M227" s="1541"/>
      <c r="N227" s="513"/>
      <c r="O227" s="554"/>
      <c r="P227" s="444" t="str">
        <f t="shared" si="19"/>
        <v/>
      </c>
      <c r="Q227" s="397"/>
      <c r="R227" s="397"/>
      <c r="S227" s="397"/>
      <c r="T227" s="397"/>
    </row>
    <row r="228" spans="7:20">
      <c r="G228" s="1540"/>
      <c r="H228"/>
      <c r="I228" s="534"/>
      <c r="J228" s="1541"/>
      <c r="L228" s="1541"/>
      <c r="M228" s="1541"/>
      <c r="N228" s="513"/>
      <c r="O228" s="554"/>
      <c r="P228" s="444" t="str">
        <f t="shared" si="19"/>
        <v/>
      </c>
      <c r="Q228" s="397"/>
      <c r="R228" s="397"/>
      <c r="S228" s="397"/>
      <c r="T228" s="397"/>
    </row>
    <row r="229" spans="7:20">
      <c r="G229" s="1540"/>
      <c r="H229"/>
      <c r="I229" s="534"/>
      <c r="J229" s="1541"/>
      <c r="L229" s="1541"/>
      <c r="M229" s="1541"/>
      <c r="N229" s="513"/>
      <c r="O229" s="554"/>
      <c r="P229" s="444" t="str">
        <f t="shared" si="19"/>
        <v/>
      </c>
      <c r="Q229" s="397"/>
      <c r="R229" s="397"/>
      <c r="S229" s="397"/>
      <c r="T229" s="397"/>
    </row>
    <row r="230" spans="7:20">
      <c r="G230" s="1540"/>
      <c r="H230"/>
      <c r="I230" s="534"/>
      <c r="J230" s="1541"/>
      <c r="L230" s="1541"/>
      <c r="M230" s="1541"/>
      <c r="N230" s="513"/>
      <c r="O230" s="554"/>
      <c r="P230" s="444" t="str">
        <f t="shared" si="19"/>
        <v/>
      </c>
      <c r="Q230" s="397"/>
      <c r="R230" s="397"/>
      <c r="S230" s="397"/>
      <c r="T230" s="397"/>
    </row>
    <row r="231" spans="7:20">
      <c r="G231" s="1540"/>
      <c r="H231"/>
      <c r="I231" s="534"/>
      <c r="J231" s="1541"/>
      <c r="L231" s="1541"/>
      <c r="M231" s="1541"/>
      <c r="N231" s="513"/>
      <c r="O231" s="554"/>
      <c r="P231" s="444" t="str">
        <f t="shared" si="19"/>
        <v/>
      </c>
      <c r="Q231" s="397"/>
      <c r="R231" s="397"/>
      <c r="S231" s="397"/>
      <c r="T231" s="397"/>
    </row>
    <row r="232" spans="7:20">
      <c r="G232" s="1540"/>
      <c r="H232"/>
      <c r="I232" s="534"/>
      <c r="J232" s="1541"/>
      <c r="L232" s="1541"/>
      <c r="M232" s="1541"/>
      <c r="N232" s="513"/>
      <c r="O232" s="554"/>
      <c r="P232" s="444" t="str">
        <f t="shared" si="19"/>
        <v/>
      </c>
      <c r="Q232" s="397"/>
      <c r="R232" s="397"/>
      <c r="S232" s="397"/>
      <c r="T232" s="397"/>
    </row>
    <row r="233" spans="7:20">
      <c r="G233" s="1540"/>
      <c r="H233"/>
      <c r="I233" s="534"/>
      <c r="J233" s="1541"/>
      <c r="L233" s="1541"/>
      <c r="M233" s="1541"/>
      <c r="N233" s="513"/>
      <c r="O233" s="554"/>
      <c r="P233" s="444" t="str">
        <f t="shared" si="19"/>
        <v/>
      </c>
      <c r="Q233" s="397"/>
      <c r="R233" s="397"/>
      <c r="S233" s="397"/>
      <c r="T233" s="397"/>
    </row>
    <row r="234" spans="7:20">
      <c r="G234" s="1540"/>
      <c r="H234"/>
      <c r="I234" s="534"/>
      <c r="J234" s="1541"/>
      <c r="L234" s="1541"/>
      <c r="M234" s="1541"/>
      <c r="N234" s="513"/>
      <c r="O234" s="554"/>
      <c r="P234" s="444" t="str">
        <f t="shared" si="19"/>
        <v/>
      </c>
      <c r="Q234" s="397"/>
      <c r="R234" s="397"/>
      <c r="S234" s="397"/>
      <c r="T234" s="397"/>
    </row>
    <row r="235" spans="7:20">
      <c r="G235" s="1540"/>
      <c r="H235"/>
      <c r="I235" s="534"/>
      <c r="J235" s="1541"/>
      <c r="L235" s="1541"/>
      <c r="M235" s="1541"/>
      <c r="N235" s="513"/>
      <c r="O235" s="554"/>
      <c r="P235" s="444" t="str">
        <f t="shared" si="19"/>
        <v/>
      </c>
      <c r="Q235" s="397"/>
      <c r="R235" s="397"/>
      <c r="S235" s="397"/>
      <c r="T235" s="397"/>
    </row>
    <row r="236" spans="7:20">
      <c r="G236" s="1540"/>
      <c r="H236"/>
      <c r="I236" s="534"/>
      <c r="J236" s="1541"/>
      <c r="L236" s="1541"/>
      <c r="M236" s="1541"/>
      <c r="N236" s="513"/>
      <c r="O236" s="554"/>
      <c r="P236" s="444" t="str">
        <f t="shared" si="19"/>
        <v/>
      </c>
      <c r="Q236" s="397"/>
      <c r="R236" s="397"/>
      <c r="S236" s="397"/>
      <c r="T236" s="397"/>
    </row>
    <row r="237" spans="7:20">
      <c r="G237" s="1540"/>
      <c r="H237"/>
      <c r="I237" s="534"/>
      <c r="J237" s="1541"/>
      <c r="L237" s="1541"/>
      <c r="M237" s="1541"/>
      <c r="N237" s="513"/>
      <c r="O237" s="554"/>
      <c r="P237" s="444" t="str">
        <f t="shared" si="19"/>
        <v/>
      </c>
      <c r="Q237" s="397"/>
      <c r="R237" s="397"/>
      <c r="S237" s="397"/>
      <c r="T237" s="397"/>
    </row>
    <row r="238" spans="7:20">
      <c r="G238" s="1540"/>
      <c r="H238"/>
      <c r="I238" s="534"/>
      <c r="J238" s="1541"/>
      <c r="L238" s="1541"/>
      <c r="M238" s="1541"/>
      <c r="N238" s="513"/>
      <c r="O238" s="554"/>
      <c r="P238" s="444" t="str">
        <f t="shared" si="19"/>
        <v/>
      </c>
      <c r="Q238" s="397"/>
      <c r="R238" s="397"/>
      <c r="S238" s="397"/>
      <c r="T238" s="397"/>
    </row>
    <row r="239" spans="7:20">
      <c r="G239" s="1540"/>
      <c r="H239"/>
      <c r="I239" s="534"/>
      <c r="J239" s="1541"/>
      <c r="L239" s="1541"/>
      <c r="M239" s="1541"/>
      <c r="N239" s="513"/>
      <c r="O239" s="554"/>
      <c r="P239" s="444" t="str">
        <f t="shared" si="19"/>
        <v/>
      </c>
      <c r="Q239" s="397"/>
      <c r="R239" s="397"/>
      <c r="S239" s="397"/>
      <c r="T239" s="397"/>
    </row>
    <row r="240" spans="7:20">
      <c r="G240" s="1540"/>
      <c r="H240"/>
      <c r="I240" s="534"/>
      <c r="J240" s="1541"/>
      <c r="L240" s="1541"/>
      <c r="M240" s="1541"/>
      <c r="N240" s="513"/>
      <c r="O240" s="554"/>
      <c r="P240" s="444" t="str">
        <f t="shared" si="19"/>
        <v/>
      </c>
      <c r="Q240" s="397"/>
      <c r="R240" s="397"/>
      <c r="S240" s="397"/>
      <c r="T240" s="397"/>
    </row>
    <row r="241" spans="7:20">
      <c r="G241" s="1540"/>
      <c r="H241"/>
      <c r="I241" s="534"/>
      <c r="J241" s="1541"/>
      <c r="L241" s="1541"/>
      <c r="M241" s="1541"/>
      <c r="N241" s="513"/>
      <c r="O241" s="554"/>
      <c r="P241" s="444" t="str">
        <f t="shared" si="19"/>
        <v/>
      </c>
      <c r="Q241" s="397"/>
      <c r="R241" s="397"/>
      <c r="S241" s="397"/>
      <c r="T241" s="397"/>
    </row>
    <row r="242" spans="7:20">
      <c r="G242" s="1540"/>
      <c r="H242"/>
      <c r="I242" s="534"/>
      <c r="J242" s="1541"/>
      <c r="L242" s="1541"/>
      <c r="M242" s="1541"/>
      <c r="N242" s="513"/>
      <c r="O242" s="554"/>
      <c r="P242" s="444" t="str">
        <f t="shared" si="19"/>
        <v/>
      </c>
      <c r="Q242" s="397"/>
      <c r="R242" s="397"/>
      <c r="S242" s="397"/>
      <c r="T242" s="397"/>
    </row>
    <row r="243" spans="7:20">
      <c r="G243" s="1540"/>
      <c r="H243"/>
      <c r="I243" s="534"/>
      <c r="J243" s="1541"/>
      <c r="L243" s="1541"/>
      <c r="M243" s="1541"/>
      <c r="N243" s="513"/>
      <c r="O243" s="554"/>
      <c r="P243" s="444" t="str">
        <f t="shared" si="19"/>
        <v/>
      </c>
      <c r="Q243" s="397"/>
      <c r="R243" s="397"/>
      <c r="S243" s="397"/>
      <c r="T243" s="397"/>
    </row>
    <row r="244" spans="7:20">
      <c r="G244" s="1540"/>
      <c r="H244"/>
      <c r="I244" s="534"/>
      <c r="J244" s="1541"/>
      <c r="L244" s="1541"/>
      <c r="M244" s="1541"/>
      <c r="N244" s="513"/>
      <c r="O244" s="554"/>
      <c r="P244" s="444" t="str">
        <f t="shared" si="19"/>
        <v/>
      </c>
      <c r="Q244" s="397"/>
      <c r="R244" s="397"/>
      <c r="S244" s="397"/>
      <c r="T244" s="397"/>
    </row>
    <row r="245" spans="7:20">
      <c r="G245" s="1540"/>
      <c r="H245"/>
      <c r="I245" s="534"/>
      <c r="J245" s="1541"/>
      <c r="L245" s="1541"/>
      <c r="M245" s="1541"/>
      <c r="N245" s="513"/>
      <c r="O245" s="554"/>
      <c r="P245" s="444" t="str">
        <f t="shared" si="19"/>
        <v/>
      </c>
      <c r="Q245" s="397"/>
      <c r="R245" s="397"/>
      <c r="S245" s="397"/>
      <c r="T245" s="397"/>
    </row>
    <row r="246" spans="7:20">
      <c r="G246" s="1540"/>
      <c r="H246"/>
      <c r="I246" s="534"/>
      <c r="J246" s="1541"/>
      <c r="L246" s="1541"/>
      <c r="M246" s="1541"/>
      <c r="N246" s="513"/>
      <c r="O246" s="554"/>
      <c r="P246" s="444" t="str">
        <f t="shared" si="19"/>
        <v/>
      </c>
      <c r="Q246" s="397"/>
      <c r="R246" s="397"/>
      <c r="S246" s="397"/>
      <c r="T246" s="397"/>
    </row>
    <row r="247" spans="7:20">
      <c r="G247" s="1540"/>
      <c r="H247"/>
      <c r="I247" s="534"/>
      <c r="J247" s="1541"/>
      <c r="L247" s="1541"/>
      <c r="M247" s="1541"/>
      <c r="N247" s="513"/>
      <c r="O247" s="554"/>
      <c r="P247" s="444" t="str">
        <f t="shared" si="19"/>
        <v/>
      </c>
      <c r="Q247" s="397"/>
      <c r="R247" s="397"/>
      <c r="S247" s="397"/>
      <c r="T247" s="397"/>
    </row>
    <row r="248" spans="7:20">
      <c r="G248" s="1540"/>
      <c r="H248"/>
      <c r="I248" s="534"/>
      <c r="J248" s="1541"/>
      <c r="L248" s="1541"/>
      <c r="M248" s="1541"/>
      <c r="N248" s="513"/>
      <c r="O248" s="554"/>
      <c r="P248" s="444" t="str">
        <f t="shared" si="19"/>
        <v/>
      </c>
      <c r="Q248" s="397"/>
      <c r="R248" s="397"/>
      <c r="S248" s="397"/>
      <c r="T248" s="397"/>
    </row>
    <row r="249" spans="7:20">
      <c r="G249" s="1540"/>
      <c r="H249"/>
      <c r="I249" s="534"/>
      <c r="J249" s="1541"/>
      <c r="L249" s="1541"/>
      <c r="M249" s="1541"/>
      <c r="N249" s="513"/>
      <c r="O249" s="554"/>
      <c r="P249" s="444" t="str">
        <f t="shared" si="19"/>
        <v/>
      </c>
      <c r="Q249" s="397"/>
      <c r="R249" s="397"/>
      <c r="S249" s="397"/>
      <c r="T249" s="397"/>
    </row>
    <row r="250" spans="7:20">
      <c r="G250" s="1540"/>
      <c r="H250"/>
      <c r="I250" s="534"/>
      <c r="J250" s="1541"/>
      <c r="L250" s="1541"/>
      <c r="M250" s="1541"/>
      <c r="N250" s="513"/>
      <c r="O250" s="554"/>
      <c r="P250" s="444" t="str">
        <f t="shared" si="19"/>
        <v/>
      </c>
      <c r="Q250" s="397"/>
      <c r="R250" s="397"/>
      <c r="S250" s="397"/>
      <c r="T250" s="397"/>
    </row>
    <row r="251" spans="7:20">
      <c r="G251" s="1540"/>
      <c r="H251"/>
      <c r="I251" s="534"/>
      <c r="J251" s="1541"/>
      <c r="L251" s="1541"/>
      <c r="M251" s="1541"/>
      <c r="N251" s="513"/>
      <c r="O251" s="554"/>
      <c r="P251" s="444" t="str">
        <f t="shared" si="19"/>
        <v/>
      </c>
      <c r="Q251" s="397"/>
      <c r="R251" s="397"/>
      <c r="S251" s="397"/>
      <c r="T251" s="397"/>
    </row>
    <row r="252" spans="7:20">
      <c r="G252" s="1540"/>
      <c r="H252"/>
      <c r="I252" s="534"/>
      <c r="J252" s="1541"/>
      <c r="L252" s="1541"/>
      <c r="M252" s="1541"/>
      <c r="N252" s="513"/>
      <c r="O252" s="554"/>
      <c r="P252" s="444" t="str">
        <f t="shared" si="19"/>
        <v/>
      </c>
      <c r="Q252" s="397"/>
      <c r="R252" s="397"/>
      <c r="S252" s="397"/>
      <c r="T252" s="397"/>
    </row>
    <row r="253" spans="7:20">
      <c r="G253" s="1540"/>
      <c r="H253"/>
      <c r="I253" s="534"/>
      <c r="J253" s="1541"/>
      <c r="L253" s="1541"/>
      <c r="M253" s="1541"/>
      <c r="N253" s="513"/>
      <c r="O253" s="554"/>
      <c r="P253" s="444" t="str">
        <f t="shared" si="19"/>
        <v/>
      </c>
      <c r="Q253" s="397"/>
      <c r="R253" s="397"/>
      <c r="S253" s="397"/>
      <c r="T253" s="397"/>
    </row>
    <row r="254" spans="7:20">
      <c r="G254" s="1540"/>
      <c r="H254"/>
      <c r="I254" s="534"/>
      <c r="J254" s="1541"/>
      <c r="L254" s="1541"/>
      <c r="M254" s="1541"/>
      <c r="N254" s="513"/>
      <c r="O254" s="554"/>
      <c r="P254" s="444" t="str">
        <f t="shared" si="19"/>
        <v/>
      </c>
      <c r="Q254" s="397"/>
      <c r="R254" s="397"/>
      <c r="S254" s="397"/>
      <c r="T254" s="397"/>
    </row>
    <row r="255" spans="7:20">
      <c r="G255" s="1540"/>
      <c r="H255"/>
      <c r="I255" s="534"/>
      <c r="J255" s="1541"/>
      <c r="L255" s="1541"/>
      <c r="M255" s="1541"/>
      <c r="N255" s="513"/>
      <c r="O255" s="554"/>
      <c r="P255" s="444" t="str">
        <f t="shared" si="19"/>
        <v/>
      </c>
      <c r="Q255" s="397"/>
      <c r="R255" s="397"/>
      <c r="S255" s="397"/>
      <c r="T255" s="397"/>
    </row>
    <row r="256" spans="7:20">
      <c r="G256" s="1540"/>
      <c r="H256"/>
      <c r="I256" s="534"/>
      <c r="J256" s="1541"/>
      <c r="L256" s="1541"/>
      <c r="M256" s="1541"/>
      <c r="N256" s="513"/>
      <c r="O256" s="554"/>
      <c r="P256" s="444" t="str">
        <f t="shared" si="19"/>
        <v/>
      </c>
      <c r="Q256" s="397"/>
      <c r="R256" s="397"/>
      <c r="S256" s="397"/>
      <c r="T256" s="397"/>
    </row>
    <row r="257" spans="7:20">
      <c r="G257" s="1540"/>
      <c r="H257"/>
      <c r="I257" s="534"/>
      <c r="J257" s="1541"/>
      <c r="L257" s="1541"/>
      <c r="M257" s="1541"/>
      <c r="N257" s="513"/>
      <c r="O257" s="554"/>
      <c r="P257" s="444" t="str">
        <f t="shared" si="19"/>
        <v/>
      </c>
      <c r="Q257" s="397"/>
      <c r="R257" s="397"/>
      <c r="S257" s="397"/>
      <c r="T257" s="397"/>
    </row>
    <row r="258" spans="7:20">
      <c r="G258" s="1540"/>
      <c r="H258"/>
      <c r="I258" s="534"/>
      <c r="J258" s="1541"/>
      <c r="L258" s="1541"/>
      <c r="M258" s="1541"/>
      <c r="N258" s="513"/>
      <c r="O258" s="554"/>
      <c r="P258" s="444" t="str">
        <f t="shared" si="19"/>
        <v/>
      </c>
      <c r="Q258" s="397"/>
      <c r="R258" s="397"/>
      <c r="S258" s="397"/>
      <c r="T258" s="397"/>
    </row>
    <row r="259" spans="7:20">
      <c r="G259" s="1540"/>
      <c r="H259"/>
      <c r="I259" s="534"/>
      <c r="J259" s="1541"/>
      <c r="L259" s="1541"/>
      <c r="M259" s="1541"/>
      <c r="N259" s="513"/>
      <c r="O259" s="554"/>
      <c r="P259" s="444" t="str">
        <f t="shared" si="19"/>
        <v/>
      </c>
      <c r="Q259" s="397"/>
      <c r="R259" s="397"/>
      <c r="S259" s="397"/>
      <c r="T259" s="397"/>
    </row>
    <row r="260" spans="7:20">
      <c r="G260" s="1540"/>
      <c r="H260"/>
      <c r="I260" s="534"/>
      <c r="J260" s="1541"/>
      <c r="L260" s="1541"/>
      <c r="M260" s="1541"/>
      <c r="N260" s="513"/>
      <c r="O260" s="554"/>
      <c r="P260" s="444" t="str">
        <f t="shared" si="19"/>
        <v/>
      </c>
      <c r="Q260" s="397"/>
      <c r="R260" s="397"/>
      <c r="S260" s="397"/>
      <c r="T260" s="397"/>
    </row>
    <row r="261" spans="7:20">
      <c r="G261" s="1540"/>
      <c r="H261"/>
      <c r="I261" s="534"/>
      <c r="J261" s="1541"/>
      <c r="L261" s="1541"/>
      <c r="M261" s="1541"/>
      <c r="N261" s="513"/>
      <c r="O261" s="554"/>
      <c r="P261" s="444" t="str">
        <f t="shared" si="19"/>
        <v/>
      </c>
      <c r="Q261" s="397"/>
      <c r="R261" s="397"/>
      <c r="S261" s="397"/>
      <c r="T261" s="397"/>
    </row>
    <row r="262" spans="7:20">
      <c r="G262" s="1540"/>
      <c r="H262"/>
      <c r="I262" s="534"/>
      <c r="J262" s="1541"/>
      <c r="L262" s="1541"/>
      <c r="M262" s="1541"/>
      <c r="N262" s="513"/>
      <c r="O262" s="554"/>
      <c r="P262" s="444" t="str">
        <f t="shared" si="19"/>
        <v/>
      </c>
      <c r="Q262" s="397"/>
      <c r="R262" s="397"/>
      <c r="S262" s="397"/>
      <c r="T262" s="397"/>
    </row>
    <row r="263" spans="7:20">
      <c r="G263" s="1540"/>
      <c r="H263"/>
      <c r="I263" s="534"/>
      <c r="J263" s="1541"/>
      <c r="L263" s="1541"/>
      <c r="M263" s="1541"/>
      <c r="N263" s="513"/>
      <c r="O263" s="554"/>
      <c r="P263" s="444" t="str">
        <f t="shared" si="19"/>
        <v/>
      </c>
      <c r="Q263" s="397"/>
      <c r="R263" s="397"/>
      <c r="S263" s="397"/>
      <c r="T263" s="397"/>
    </row>
    <row r="264" spans="7:20">
      <c r="G264" s="1540"/>
      <c r="H264"/>
      <c r="I264" s="534"/>
      <c r="J264" s="1541"/>
      <c r="L264" s="1541"/>
      <c r="M264" s="1541"/>
      <c r="N264" s="513"/>
      <c r="O264" s="554"/>
      <c r="P264" s="444" t="str">
        <f t="shared" si="19"/>
        <v/>
      </c>
      <c r="Q264" s="397"/>
      <c r="R264" s="397"/>
      <c r="S264" s="397"/>
      <c r="T264" s="397"/>
    </row>
    <row r="265" spans="7:20">
      <c r="G265" s="1540"/>
      <c r="H265"/>
      <c r="I265" s="534"/>
      <c r="J265" s="1541"/>
      <c r="L265" s="1541"/>
      <c r="M265" s="1541"/>
      <c r="N265" s="513"/>
      <c r="O265" s="554"/>
      <c r="P265" s="444" t="str">
        <f t="shared" si="19"/>
        <v/>
      </c>
      <c r="Q265" s="397"/>
      <c r="R265" s="397"/>
      <c r="S265" s="397"/>
      <c r="T265" s="397"/>
    </row>
    <row r="266" spans="7:20">
      <c r="G266" s="1540"/>
      <c r="H266"/>
      <c r="I266" s="534"/>
      <c r="J266" s="1541"/>
      <c r="L266" s="1541"/>
      <c r="M266" s="1541"/>
      <c r="N266" s="513"/>
      <c r="O266" s="554"/>
      <c r="P266" s="444" t="str">
        <f t="shared" si="19"/>
        <v/>
      </c>
      <c r="Q266" s="397"/>
      <c r="R266" s="397"/>
      <c r="S266" s="397"/>
      <c r="T266" s="397"/>
    </row>
    <row r="267" spans="7:20">
      <c r="G267" s="1540"/>
      <c r="H267"/>
      <c r="I267" s="534"/>
      <c r="J267" s="1541"/>
      <c r="L267" s="1541"/>
      <c r="M267" s="1541"/>
      <c r="N267" s="513"/>
      <c r="O267" s="554"/>
      <c r="P267" s="444" t="str">
        <f t="shared" si="19"/>
        <v/>
      </c>
      <c r="Q267" s="397"/>
      <c r="R267" s="397"/>
      <c r="S267" s="397"/>
      <c r="T267" s="397"/>
    </row>
    <row r="268" spans="7:20">
      <c r="G268" s="1540"/>
      <c r="H268"/>
      <c r="I268" s="534"/>
      <c r="J268" s="1541"/>
      <c r="L268" s="1541"/>
      <c r="M268" s="1541"/>
      <c r="N268" s="513"/>
      <c r="O268" s="554"/>
      <c r="P268" s="444" t="str">
        <f t="shared" si="19"/>
        <v/>
      </c>
      <c r="Q268" s="397"/>
      <c r="R268" s="397"/>
      <c r="S268" s="397"/>
      <c r="T268" s="397"/>
    </row>
    <row r="269" spans="7:20">
      <c r="G269" s="1540"/>
      <c r="H269"/>
      <c r="I269" s="534"/>
      <c r="J269" s="1541"/>
      <c r="L269" s="1541"/>
      <c r="M269" s="1541"/>
      <c r="N269" s="513"/>
      <c r="O269" s="554"/>
      <c r="P269" s="444" t="str">
        <f t="shared" ref="P269:P332" si="20">IFERROR(INDEX($A$12:$A$36,MATCH($N269,$D$12:$D$36,0)),"")</f>
        <v/>
      </c>
    </row>
    <row r="270" spans="7:20">
      <c r="G270" s="1540"/>
      <c r="H270"/>
      <c r="I270" s="534"/>
      <c r="J270" s="1541"/>
      <c r="L270" s="1541"/>
      <c r="M270" s="1541"/>
      <c r="N270" s="513"/>
      <c r="O270" s="554"/>
      <c r="P270" s="444" t="str">
        <f t="shared" si="20"/>
        <v/>
      </c>
    </row>
    <row r="271" spans="7:20">
      <c r="G271" s="1540"/>
      <c r="H271"/>
      <c r="I271" s="534"/>
      <c r="J271" s="1541"/>
      <c r="L271" s="1541"/>
      <c r="M271" s="1541"/>
      <c r="N271" s="513"/>
      <c r="O271" s="554"/>
      <c r="P271" s="444" t="str">
        <f t="shared" si="20"/>
        <v/>
      </c>
    </row>
    <row r="272" spans="7:20">
      <c r="G272" s="1540"/>
      <c r="H272"/>
      <c r="I272" s="534"/>
      <c r="J272" s="1541"/>
      <c r="L272" s="1541"/>
      <c r="M272" s="1541"/>
      <c r="N272" s="513"/>
      <c r="O272" s="554"/>
      <c r="P272" s="444" t="str">
        <f t="shared" si="20"/>
        <v/>
      </c>
    </row>
    <row r="273" spans="7:16">
      <c r="G273" s="1540"/>
      <c r="H273"/>
      <c r="I273" s="534"/>
      <c r="J273" s="1541"/>
      <c r="L273" s="1541"/>
      <c r="M273" s="1541"/>
      <c r="N273" s="513"/>
      <c r="O273" s="554"/>
      <c r="P273" s="444" t="str">
        <f t="shared" si="20"/>
        <v/>
      </c>
    </row>
    <row r="274" spans="7:16">
      <c r="G274" s="1540"/>
      <c r="H274"/>
      <c r="I274" s="534"/>
      <c r="J274" s="1541"/>
      <c r="L274" s="1541"/>
      <c r="M274" s="1541"/>
      <c r="N274" s="513"/>
      <c r="O274" s="554"/>
      <c r="P274" s="444" t="str">
        <f t="shared" si="20"/>
        <v/>
      </c>
    </row>
    <row r="275" spans="7:16">
      <c r="G275" s="1540"/>
      <c r="H275"/>
      <c r="I275" s="534"/>
      <c r="J275" s="1541"/>
      <c r="L275" s="1541"/>
      <c r="M275" s="1541"/>
      <c r="N275" s="513"/>
      <c r="O275" s="554"/>
      <c r="P275" s="444" t="str">
        <f t="shared" si="20"/>
        <v/>
      </c>
    </row>
    <row r="276" spans="7:16">
      <c r="G276" s="1540"/>
      <c r="H276"/>
      <c r="I276" s="534"/>
      <c r="J276" s="1541"/>
      <c r="L276" s="1541"/>
      <c r="M276" s="1541"/>
      <c r="N276" s="513"/>
      <c r="O276" s="554"/>
      <c r="P276" s="444" t="str">
        <f t="shared" si="20"/>
        <v/>
      </c>
    </row>
    <row r="277" spans="7:16">
      <c r="G277" s="1540"/>
      <c r="H277"/>
      <c r="I277" s="534"/>
      <c r="J277" s="1541"/>
      <c r="L277" s="1541"/>
      <c r="M277" s="1541"/>
      <c r="N277" s="513"/>
      <c r="O277" s="554"/>
      <c r="P277" s="444" t="str">
        <f t="shared" si="20"/>
        <v/>
      </c>
    </row>
    <row r="278" spans="7:16">
      <c r="G278" s="1540"/>
      <c r="H278"/>
      <c r="I278" s="534"/>
      <c r="J278" s="1541"/>
      <c r="L278" s="1541"/>
      <c r="M278" s="1541"/>
      <c r="N278" s="513"/>
      <c r="O278" s="554"/>
      <c r="P278" s="444" t="str">
        <f t="shared" si="20"/>
        <v/>
      </c>
    </row>
    <row r="279" spans="7:16">
      <c r="G279" s="1540"/>
      <c r="H279"/>
      <c r="I279" s="534"/>
      <c r="J279" s="1541"/>
      <c r="L279" s="1541"/>
      <c r="M279" s="1541"/>
      <c r="N279" s="513"/>
      <c r="O279" s="554"/>
      <c r="P279" s="444" t="str">
        <f t="shared" si="20"/>
        <v/>
      </c>
    </row>
    <row r="280" spans="7:16">
      <c r="G280" s="1540"/>
      <c r="H280"/>
      <c r="I280" s="534"/>
      <c r="J280" s="1541"/>
      <c r="L280" s="1541"/>
      <c r="M280" s="1541"/>
      <c r="N280" s="513"/>
      <c r="O280" s="554"/>
      <c r="P280" s="444" t="str">
        <f t="shared" si="20"/>
        <v/>
      </c>
    </row>
    <row r="281" spans="7:16">
      <c r="G281" s="1540"/>
      <c r="H281"/>
      <c r="I281" s="534"/>
      <c r="J281" s="1541"/>
      <c r="L281" s="1541"/>
      <c r="M281" s="1541"/>
      <c r="N281" s="513"/>
      <c r="O281" s="554"/>
      <c r="P281" s="444" t="str">
        <f t="shared" si="20"/>
        <v/>
      </c>
    </row>
    <row r="282" spans="7:16">
      <c r="G282" s="1540"/>
      <c r="H282"/>
      <c r="I282" s="534"/>
      <c r="J282" s="1541"/>
      <c r="L282" s="1541"/>
      <c r="M282" s="1541"/>
      <c r="N282" s="513"/>
      <c r="O282" s="554"/>
      <c r="P282" s="444" t="str">
        <f t="shared" si="20"/>
        <v/>
      </c>
    </row>
    <row r="283" spans="7:16">
      <c r="G283" s="1540"/>
      <c r="H283"/>
      <c r="I283" s="534"/>
      <c r="J283" s="1541"/>
      <c r="L283" s="1541"/>
      <c r="M283" s="1541"/>
      <c r="N283" s="513"/>
      <c r="O283" s="554"/>
      <c r="P283" s="444" t="str">
        <f t="shared" si="20"/>
        <v/>
      </c>
    </row>
    <row r="284" spans="7:16">
      <c r="G284" s="1540"/>
      <c r="H284"/>
      <c r="I284" s="534"/>
      <c r="J284" s="1541"/>
      <c r="L284" s="1541"/>
      <c r="M284" s="1541"/>
      <c r="N284" s="513"/>
      <c r="O284" s="554"/>
      <c r="P284" s="444" t="str">
        <f t="shared" si="20"/>
        <v/>
      </c>
    </row>
    <row r="285" spans="7:16">
      <c r="G285" s="1540"/>
      <c r="H285"/>
      <c r="I285" s="534"/>
      <c r="J285" s="1541"/>
      <c r="L285" s="1541"/>
      <c r="M285" s="1541"/>
      <c r="N285" s="513"/>
      <c r="O285" s="554"/>
      <c r="P285" s="444" t="str">
        <f t="shared" si="20"/>
        <v/>
      </c>
    </row>
    <row r="286" spans="7:16">
      <c r="G286" s="1540"/>
      <c r="H286"/>
      <c r="I286" s="534"/>
      <c r="J286" s="1541"/>
      <c r="L286" s="1541"/>
      <c r="M286" s="1541"/>
      <c r="N286" s="513"/>
      <c r="O286" s="554"/>
      <c r="P286" s="444" t="str">
        <f t="shared" si="20"/>
        <v/>
      </c>
    </row>
    <row r="287" spans="7:16">
      <c r="G287" s="1540"/>
      <c r="H287"/>
      <c r="I287" s="534"/>
      <c r="J287" s="1541"/>
      <c r="L287" s="1541"/>
      <c r="M287" s="1541"/>
      <c r="N287" s="513"/>
      <c r="O287" s="554"/>
      <c r="P287" s="444" t="str">
        <f t="shared" si="20"/>
        <v/>
      </c>
    </row>
    <row r="288" spans="7:16">
      <c r="G288" s="1540"/>
      <c r="H288"/>
      <c r="I288" s="534"/>
      <c r="J288" s="1541"/>
      <c r="L288" s="1541"/>
      <c r="M288" s="1541"/>
      <c r="N288" s="513"/>
      <c r="O288" s="554"/>
      <c r="P288" s="444" t="str">
        <f t="shared" si="20"/>
        <v/>
      </c>
    </row>
    <row r="289" spans="7:16">
      <c r="G289" s="1540"/>
      <c r="H289"/>
      <c r="I289" s="534"/>
      <c r="J289" s="1541"/>
      <c r="L289" s="1541"/>
      <c r="M289" s="1541"/>
      <c r="N289" s="513"/>
      <c r="O289" s="554"/>
      <c r="P289" s="444" t="str">
        <f t="shared" si="20"/>
        <v/>
      </c>
    </row>
    <row r="290" spans="7:16">
      <c r="G290" s="1540"/>
      <c r="H290"/>
      <c r="I290" s="534"/>
      <c r="J290" s="1541"/>
      <c r="L290" s="1541"/>
      <c r="M290" s="1541"/>
      <c r="N290" s="513"/>
      <c r="O290" s="554"/>
      <c r="P290" s="444" t="str">
        <f t="shared" si="20"/>
        <v/>
      </c>
    </row>
    <row r="291" spans="7:16">
      <c r="G291" s="1540"/>
      <c r="H291"/>
      <c r="I291" s="534"/>
      <c r="J291" s="1541"/>
      <c r="L291" s="1541"/>
      <c r="M291" s="1541"/>
      <c r="N291" s="513"/>
      <c r="O291" s="554"/>
      <c r="P291" s="444" t="str">
        <f t="shared" si="20"/>
        <v/>
      </c>
    </row>
    <row r="292" spans="7:16">
      <c r="G292" s="1540"/>
      <c r="H292"/>
      <c r="I292" s="534"/>
      <c r="J292" s="1541"/>
      <c r="L292" s="1541"/>
      <c r="M292" s="1541"/>
      <c r="N292" s="513"/>
      <c r="O292" s="554"/>
      <c r="P292" s="444" t="str">
        <f t="shared" si="20"/>
        <v/>
      </c>
    </row>
    <row r="293" spans="7:16">
      <c r="G293" s="1540"/>
      <c r="H293"/>
      <c r="I293" s="534"/>
      <c r="J293" s="1541"/>
      <c r="L293" s="1541"/>
      <c r="M293" s="1541"/>
      <c r="N293" s="513"/>
      <c r="O293" s="554"/>
      <c r="P293" s="444" t="str">
        <f t="shared" si="20"/>
        <v/>
      </c>
    </row>
    <row r="294" spans="7:16">
      <c r="G294" s="1540"/>
      <c r="H294"/>
      <c r="I294" s="534"/>
      <c r="J294" s="1541"/>
      <c r="L294" s="1541"/>
      <c r="M294" s="1541"/>
      <c r="N294" s="513"/>
      <c r="O294" s="554"/>
      <c r="P294" s="444" t="str">
        <f t="shared" si="20"/>
        <v/>
      </c>
    </row>
    <row r="295" spans="7:16">
      <c r="G295" s="1540"/>
      <c r="H295"/>
      <c r="I295" s="534"/>
      <c r="J295" s="1541"/>
      <c r="L295" s="1541"/>
      <c r="M295" s="1541"/>
      <c r="N295" s="513"/>
      <c r="O295" s="554"/>
      <c r="P295" s="444" t="str">
        <f t="shared" si="20"/>
        <v/>
      </c>
    </row>
    <row r="296" spans="7:16">
      <c r="G296" s="1540"/>
      <c r="H296"/>
      <c r="I296" s="534"/>
      <c r="J296" s="1541"/>
      <c r="L296" s="1541"/>
      <c r="M296" s="1541"/>
      <c r="N296" s="513"/>
      <c r="O296" s="554"/>
      <c r="P296" s="444" t="str">
        <f t="shared" si="20"/>
        <v/>
      </c>
    </row>
    <row r="297" spans="7:16">
      <c r="G297" s="1540"/>
      <c r="H297"/>
      <c r="I297" s="534"/>
      <c r="J297" s="1541"/>
      <c r="L297" s="1541"/>
      <c r="M297" s="1541"/>
      <c r="N297" s="513"/>
      <c r="O297" s="554"/>
      <c r="P297" s="444" t="str">
        <f t="shared" si="20"/>
        <v/>
      </c>
    </row>
    <row r="298" spans="7:16">
      <c r="G298" s="1540"/>
      <c r="H298"/>
      <c r="I298" s="534"/>
      <c r="J298" s="1541"/>
      <c r="L298" s="1541"/>
      <c r="M298" s="1541"/>
      <c r="N298" s="513"/>
      <c r="O298" s="554"/>
      <c r="P298" s="444" t="str">
        <f t="shared" si="20"/>
        <v/>
      </c>
    </row>
    <row r="299" spans="7:16">
      <c r="G299" s="1540"/>
      <c r="H299"/>
      <c r="I299" s="534"/>
      <c r="J299" s="1541"/>
      <c r="L299" s="1541"/>
      <c r="M299" s="1541"/>
      <c r="N299" s="513"/>
      <c r="O299" s="554"/>
      <c r="P299" s="444" t="str">
        <f t="shared" si="20"/>
        <v/>
      </c>
    </row>
    <row r="300" spans="7:16">
      <c r="G300" s="1540"/>
      <c r="H300"/>
      <c r="I300" s="534"/>
      <c r="J300" s="1541"/>
      <c r="L300" s="1541"/>
      <c r="M300" s="1541"/>
      <c r="N300" s="513"/>
      <c r="O300" s="554"/>
      <c r="P300" s="444" t="str">
        <f t="shared" si="20"/>
        <v/>
      </c>
    </row>
    <row r="301" spans="7:16">
      <c r="G301" s="1540"/>
      <c r="H301"/>
      <c r="I301" s="534"/>
      <c r="J301" s="1541"/>
      <c r="L301" s="1541"/>
      <c r="M301" s="1541"/>
      <c r="N301" s="513"/>
      <c r="O301" s="554"/>
      <c r="P301" s="444" t="str">
        <f t="shared" si="20"/>
        <v/>
      </c>
    </row>
    <row r="302" spans="7:16">
      <c r="G302" s="1540"/>
      <c r="H302"/>
      <c r="I302" s="534"/>
      <c r="J302" s="1541"/>
      <c r="L302" s="1541"/>
      <c r="M302" s="1541"/>
      <c r="N302" s="513"/>
      <c r="O302" s="554"/>
      <c r="P302" s="444" t="str">
        <f t="shared" si="20"/>
        <v/>
      </c>
    </row>
    <row r="303" spans="7:16">
      <c r="G303" s="1540"/>
      <c r="H303"/>
      <c r="I303" s="534"/>
      <c r="J303" s="1541"/>
      <c r="L303" s="1541"/>
      <c r="M303" s="1541"/>
      <c r="N303" s="513"/>
      <c r="O303" s="554"/>
      <c r="P303" s="444" t="str">
        <f t="shared" si="20"/>
        <v/>
      </c>
    </row>
    <row r="304" spans="7:16">
      <c r="G304" s="1540"/>
      <c r="H304"/>
      <c r="I304" s="534"/>
      <c r="J304" s="1541"/>
      <c r="L304" s="1541"/>
      <c r="M304" s="1541"/>
      <c r="N304" s="513"/>
      <c r="O304" s="554"/>
      <c r="P304" s="444" t="str">
        <f t="shared" si="20"/>
        <v/>
      </c>
    </row>
    <row r="305" spans="7:16">
      <c r="G305" s="1540"/>
      <c r="H305"/>
      <c r="I305" s="534"/>
      <c r="J305" s="1541"/>
      <c r="L305" s="1541"/>
      <c r="M305" s="1541"/>
      <c r="N305" s="513"/>
      <c r="O305" s="554"/>
      <c r="P305" s="444" t="str">
        <f t="shared" si="20"/>
        <v/>
      </c>
    </row>
    <row r="306" spans="7:16">
      <c r="G306" s="1540"/>
      <c r="H306"/>
      <c r="I306" s="534"/>
      <c r="J306" s="1541"/>
      <c r="L306" s="1541"/>
      <c r="M306" s="1541"/>
      <c r="N306" s="513"/>
      <c r="O306" s="554"/>
      <c r="P306" s="444" t="str">
        <f t="shared" si="20"/>
        <v/>
      </c>
    </row>
    <row r="307" spans="7:16">
      <c r="G307" s="1540"/>
      <c r="H307"/>
      <c r="I307" s="534"/>
      <c r="J307" s="1541"/>
      <c r="L307" s="1541"/>
      <c r="M307" s="1541"/>
      <c r="N307" s="513"/>
      <c r="O307" s="554"/>
      <c r="P307" s="444" t="str">
        <f t="shared" si="20"/>
        <v/>
      </c>
    </row>
    <row r="308" spans="7:16">
      <c r="G308" s="1540"/>
      <c r="H308"/>
      <c r="I308" s="534"/>
      <c r="J308" s="1541"/>
      <c r="L308" s="1541"/>
      <c r="M308" s="1541"/>
      <c r="N308" s="513"/>
      <c r="O308" s="554"/>
      <c r="P308" s="444" t="str">
        <f t="shared" si="20"/>
        <v/>
      </c>
    </row>
    <row r="309" spans="7:16">
      <c r="G309" s="1540"/>
      <c r="H309"/>
      <c r="I309" s="534"/>
      <c r="J309" s="1541"/>
      <c r="L309" s="1541"/>
      <c r="M309" s="1541"/>
      <c r="N309" s="513"/>
      <c r="O309" s="554"/>
      <c r="P309" s="444" t="str">
        <f t="shared" si="20"/>
        <v/>
      </c>
    </row>
    <row r="310" spans="7:16">
      <c r="G310" s="1540"/>
      <c r="H310"/>
      <c r="I310" s="534"/>
      <c r="J310" s="1541"/>
      <c r="L310" s="1541"/>
      <c r="M310" s="1541"/>
      <c r="N310" s="513"/>
      <c r="O310" s="554"/>
      <c r="P310" s="444" t="str">
        <f t="shared" si="20"/>
        <v/>
      </c>
    </row>
    <row r="311" spans="7:16">
      <c r="G311" s="1540"/>
      <c r="H311"/>
      <c r="I311" s="534"/>
      <c r="J311" s="1541"/>
      <c r="L311" s="1541"/>
      <c r="M311" s="1541"/>
      <c r="N311" s="513"/>
      <c r="O311" s="554"/>
      <c r="P311" s="444" t="str">
        <f t="shared" si="20"/>
        <v/>
      </c>
    </row>
    <row r="312" spans="7:16">
      <c r="G312" s="1540"/>
      <c r="H312"/>
      <c r="I312" s="534"/>
      <c r="J312" s="1541"/>
      <c r="L312" s="1541"/>
      <c r="M312" s="1541"/>
      <c r="N312" s="513"/>
      <c r="O312" s="554"/>
      <c r="P312" s="444" t="str">
        <f t="shared" si="20"/>
        <v/>
      </c>
    </row>
    <row r="313" spans="7:16">
      <c r="G313" s="1540"/>
      <c r="H313"/>
      <c r="I313" s="534"/>
      <c r="J313" s="1541"/>
      <c r="L313" s="1541"/>
      <c r="M313" s="1541"/>
      <c r="N313" s="513"/>
      <c r="O313" s="554"/>
      <c r="P313" s="444" t="str">
        <f t="shared" si="20"/>
        <v/>
      </c>
    </row>
    <row r="314" spans="7:16">
      <c r="G314" s="1540"/>
      <c r="H314"/>
      <c r="I314" s="534"/>
      <c r="J314" s="1541"/>
      <c r="L314" s="1541"/>
      <c r="M314" s="1541"/>
      <c r="N314" s="513"/>
      <c r="O314" s="554"/>
      <c r="P314" s="444" t="str">
        <f t="shared" si="20"/>
        <v/>
      </c>
    </row>
    <row r="315" spans="7:16">
      <c r="G315" s="1540"/>
      <c r="H315"/>
      <c r="I315" s="534"/>
      <c r="J315" s="1541"/>
      <c r="L315" s="1541"/>
      <c r="M315" s="1541"/>
      <c r="N315" s="513"/>
      <c r="O315" s="554"/>
      <c r="P315" s="444" t="str">
        <f t="shared" si="20"/>
        <v/>
      </c>
    </row>
    <row r="316" spans="7:16">
      <c r="G316" s="1540"/>
      <c r="H316"/>
      <c r="I316" s="534"/>
      <c r="J316" s="1541"/>
      <c r="L316" s="1541"/>
      <c r="M316" s="1541"/>
      <c r="N316" s="513"/>
      <c r="O316" s="554"/>
      <c r="P316" s="444" t="str">
        <f t="shared" si="20"/>
        <v/>
      </c>
    </row>
    <row r="317" spans="7:16">
      <c r="G317" s="1540"/>
      <c r="H317"/>
      <c r="I317" s="534"/>
      <c r="J317" s="1541"/>
      <c r="L317" s="1541"/>
      <c r="M317" s="1541"/>
      <c r="N317" s="513"/>
      <c r="O317" s="554"/>
      <c r="P317" s="444" t="str">
        <f t="shared" si="20"/>
        <v/>
      </c>
    </row>
    <row r="318" spans="7:16">
      <c r="G318" s="1540"/>
      <c r="H318"/>
      <c r="I318" s="534"/>
      <c r="J318" s="1541"/>
      <c r="L318" s="1541"/>
      <c r="M318" s="1541"/>
      <c r="N318" s="513"/>
      <c r="O318" s="554"/>
      <c r="P318" s="444" t="str">
        <f t="shared" si="20"/>
        <v/>
      </c>
    </row>
    <row r="319" spans="7:16">
      <c r="G319" s="1540"/>
      <c r="H319"/>
      <c r="I319" s="534"/>
      <c r="J319" s="1541"/>
      <c r="L319" s="1541"/>
      <c r="M319" s="1541"/>
      <c r="N319" s="513"/>
      <c r="O319" s="554"/>
      <c r="P319" s="444" t="str">
        <f t="shared" si="20"/>
        <v/>
      </c>
    </row>
    <row r="320" spans="7:16">
      <c r="G320" s="1540"/>
      <c r="H320"/>
      <c r="I320" s="534"/>
      <c r="J320" s="1541"/>
      <c r="L320" s="1541"/>
      <c r="M320" s="1541"/>
      <c r="N320" s="513"/>
      <c r="O320" s="554"/>
      <c r="P320" s="444" t="str">
        <f t="shared" si="20"/>
        <v/>
      </c>
    </row>
    <row r="321" spans="7:16">
      <c r="G321" s="1540"/>
      <c r="H321"/>
      <c r="I321" s="534"/>
      <c r="J321" s="1541"/>
      <c r="L321" s="1541"/>
      <c r="M321" s="1541"/>
      <c r="N321" s="513"/>
      <c r="O321" s="554"/>
      <c r="P321" s="444" t="str">
        <f t="shared" si="20"/>
        <v/>
      </c>
    </row>
    <row r="322" spans="7:16">
      <c r="G322" s="1540"/>
      <c r="H322"/>
      <c r="I322" s="534"/>
      <c r="J322" s="1541"/>
      <c r="L322" s="1541"/>
      <c r="M322" s="1541"/>
      <c r="N322" s="513"/>
      <c r="O322" s="554"/>
      <c r="P322" s="444" t="str">
        <f t="shared" si="20"/>
        <v/>
      </c>
    </row>
    <row r="323" spans="7:16">
      <c r="G323" s="1540"/>
      <c r="H323"/>
      <c r="I323" s="534"/>
      <c r="J323" s="1541"/>
      <c r="L323" s="1541"/>
      <c r="M323" s="1541"/>
      <c r="N323" s="513"/>
      <c r="O323" s="554"/>
      <c r="P323" s="444" t="str">
        <f t="shared" si="20"/>
        <v/>
      </c>
    </row>
    <row r="324" spans="7:16">
      <c r="G324" s="1540"/>
      <c r="H324"/>
      <c r="I324" s="534"/>
      <c r="J324" s="1541"/>
      <c r="L324" s="1541"/>
      <c r="M324" s="1541"/>
      <c r="N324" s="513"/>
      <c r="O324" s="554"/>
      <c r="P324" s="444" t="str">
        <f t="shared" si="20"/>
        <v/>
      </c>
    </row>
    <row r="325" spans="7:16">
      <c r="G325" s="1540"/>
      <c r="H325"/>
      <c r="I325" s="534"/>
      <c r="J325" s="1541"/>
      <c r="L325" s="1541"/>
      <c r="M325" s="1541"/>
      <c r="N325" s="513"/>
      <c r="O325" s="554"/>
      <c r="P325" s="444" t="str">
        <f t="shared" si="20"/>
        <v/>
      </c>
    </row>
    <row r="326" spans="7:16">
      <c r="G326" s="1540"/>
      <c r="H326"/>
      <c r="I326" s="534"/>
      <c r="J326" s="1541"/>
      <c r="L326" s="1541"/>
      <c r="M326" s="1541"/>
      <c r="N326" s="513"/>
      <c r="O326" s="554"/>
      <c r="P326" s="444" t="str">
        <f t="shared" si="20"/>
        <v/>
      </c>
    </row>
    <row r="327" spans="7:16">
      <c r="G327" s="1540"/>
      <c r="H327"/>
      <c r="I327" s="534"/>
      <c r="J327" s="1541"/>
      <c r="L327" s="1541"/>
      <c r="M327" s="1541"/>
      <c r="N327" s="513"/>
      <c r="O327" s="554"/>
      <c r="P327" s="444" t="str">
        <f t="shared" si="20"/>
        <v/>
      </c>
    </row>
    <row r="328" spans="7:16">
      <c r="G328" s="1540"/>
      <c r="H328"/>
      <c r="I328" s="534"/>
      <c r="J328" s="1541"/>
      <c r="L328" s="1541"/>
      <c r="M328" s="1541"/>
      <c r="N328" s="513"/>
      <c r="O328" s="554"/>
      <c r="P328" s="444" t="str">
        <f t="shared" si="20"/>
        <v/>
      </c>
    </row>
    <row r="329" spans="7:16">
      <c r="G329" s="1540"/>
      <c r="H329"/>
      <c r="I329" s="534"/>
      <c r="J329" s="1541"/>
      <c r="L329" s="1541"/>
      <c r="M329" s="1541"/>
      <c r="N329" s="513"/>
      <c r="O329" s="554"/>
      <c r="P329" s="444" t="str">
        <f t="shared" si="20"/>
        <v/>
      </c>
    </row>
    <row r="330" spans="7:16">
      <c r="G330" s="1540"/>
      <c r="H330"/>
      <c r="I330" s="534"/>
      <c r="J330" s="1541"/>
      <c r="L330" s="1541"/>
      <c r="M330" s="1541"/>
      <c r="N330" s="513"/>
      <c r="O330" s="554"/>
      <c r="P330" s="444" t="str">
        <f t="shared" si="20"/>
        <v/>
      </c>
    </row>
    <row r="331" spans="7:16">
      <c r="G331" s="1540"/>
      <c r="H331"/>
      <c r="I331" s="534"/>
      <c r="J331" s="1541"/>
      <c r="L331" s="1541"/>
      <c r="M331" s="1541"/>
      <c r="N331" s="513"/>
      <c r="O331" s="554"/>
      <c r="P331" s="444" t="str">
        <f t="shared" si="20"/>
        <v/>
      </c>
    </row>
    <row r="332" spans="7:16">
      <c r="G332" s="1540"/>
      <c r="H332"/>
      <c r="I332" s="534"/>
      <c r="J332" s="1541"/>
      <c r="L332" s="1541"/>
      <c r="M332" s="1541"/>
      <c r="N332" s="513"/>
      <c r="O332" s="554"/>
      <c r="P332" s="444" t="str">
        <f t="shared" si="20"/>
        <v/>
      </c>
    </row>
    <row r="333" spans="7:16">
      <c r="G333" s="1540"/>
      <c r="H333"/>
      <c r="I333" s="534"/>
      <c r="J333" s="1541"/>
      <c r="L333" s="1541"/>
      <c r="M333" s="1541"/>
      <c r="N333" s="513"/>
      <c r="O333" s="554"/>
      <c r="P333" s="444" t="str">
        <f t="shared" ref="P333:P396" si="21">IFERROR(INDEX($A$12:$A$36,MATCH($N333,$D$12:$D$36,0)),"")</f>
        <v/>
      </c>
    </row>
    <row r="334" spans="7:16">
      <c r="G334" s="1540"/>
      <c r="H334"/>
      <c r="I334" s="534"/>
      <c r="J334" s="1541"/>
      <c r="L334" s="1541"/>
      <c r="M334" s="1541"/>
      <c r="N334" s="513"/>
      <c r="O334" s="554"/>
      <c r="P334" s="444" t="str">
        <f t="shared" si="21"/>
        <v/>
      </c>
    </row>
    <row r="335" spans="7:16">
      <c r="G335" s="1540"/>
      <c r="H335"/>
      <c r="I335" s="534"/>
      <c r="J335" s="1541"/>
      <c r="L335" s="1541"/>
      <c r="M335" s="1541"/>
      <c r="N335" s="513"/>
      <c r="O335" s="554"/>
      <c r="P335" s="444" t="str">
        <f t="shared" si="21"/>
        <v/>
      </c>
    </row>
    <row r="336" spans="7:16">
      <c r="G336" s="1540"/>
      <c r="H336"/>
      <c r="I336" s="534"/>
      <c r="J336" s="1541"/>
      <c r="L336" s="1541"/>
      <c r="M336" s="1541"/>
      <c r="N336" s="513"/>
      <c r="O336" s="554"/>
      <c r="P336" s="444" t="str">
        <f t="shared" si="21"/>
        <v/>
      </c>
    </row>
    <row r="337" spans="7:16">
      <c r="G337" s="1540"/>
      <c r="H337"/>
      <c r="I337" s="534"/>
      <c r="J337" s="1541"/>
      <c r="L337" s="1541"/>
      <c r="M337" s="1541"/>
      <c r="N337" s="513"/>
      <c r="O337" s="554"/>
      <c r="P337" s="444" t="str">
        <f t="shared" si="21"/>
        <v/>
      </c>
    </row>
    <row r="338" spans="7:16">
      <c r="G338" s="1540"/>
      <c r="H338"/>
      <c r="I338" s="534"/>
      <c r="J338" s="1541"/>
      <c r="L338" s="1541"/>
      <c r="M338" s="1541"/>
      <c r="N338" s="513"/>
      <c r="O338" s="554"/>
      <c r="P338" s="444" t="str">
        <f t="shared" si="21"/>
        <v/>
      </c>
    </row>
    <row r="339" spans="7:16">
      <c r="G339" s="1540"/>
      <c r="H339"/>
      <c r="I339" s="534"/>
      <c r="J339" s="1541"/>
      <c r="L339" s="1541"/>
      <c r="M339" s="1541"/>
      <c r="N339" s="513"/>
      <c r="O339" s="554"/>
      <c r="P339" s="444" t="str">
        <f t="shared" si="21"/>
        <v/>
      </c>
    </row>
    <row r="340" spans="7:16">
      <c r="G340" s="1540"/>
      <c r="H340"/>
      <c r="I340" s="534"/>
      <c r="J340" s="1541"/>
      <c r="L340" s="1541"/>
      <c r="M340" s="1541"/>
      <c r="N340" s="513"/>
      <c r="O340" s="554"/>
      <c r="P340" s="444" t="str">
        <f t="shared" si="21"/>
        <v/>
      </c>
    </row>
    <row r="341" spans="7:16">
      <c r="G341" s="1540"/>
      <c r="H341"/>
      <c r="I341" s="534"/>
      <c r="J341" s="1541"/>
      <c r="L341" s="1541"/>
      <c r="M341" s="1541"/>
      <c r="N341" s="513"/>
      <c r="O341" s="554"/>
      <c r="P341" s="444" t="str">
        <f t="shared" si="21"/>
        <v/>
      </c>
    </row>
    <row r="342" spans="7:16">
      <c r="G342" s="1540"/>
      <c r="H342"/>
      <c r="I342" s="534"/>
      <c r="J342" s="1541"/>
      <c r="L342" s="1541"/>
      <c r="M342" s="1541"/>
      <c r="N342" s="513"/>
      <c r="O342" s="554"/>
      <c r="P342" s="444" t="str">
        <f t="shared" si="21"/>
        <v/>
      </c>
    </row>
    <row r="343" spans="7:16">
      <c r="G343" s="1540"/>
      <c r="H343"/>
      <c r="I343" s="534"/>
      <c r="J343" s="1541"/>
      <c r="L343" s="1541"/>
      <c r="M343" s="1541"/>
      <c r="N343" s="513"/>
      <c r="O343" s="554"/>
      <c r="P343" s="444" t="str">
        <f t="shared" si="21"/>
        <v/>
      </c>
    </row>
    <row r="344" spans="7:16">
      <c r="G344" s="1540"/>
      <c r="H344"/>
      <c r="I344" s="534"/>
      <c r="J344" s="1541"/>
      <c r="L344" s="1541"/>
      <c r="M344" s="1541"/>
      <c r="N344" s="513"/>
      <c r="O344" s="554"/>
      <c r="P344" s="444" t="str">
        <f t="shared" si="21"/>
        <v/>
      </c>
    </row>
    <row r="345" spans="7:16">
      <c r="G345" s="1540"/>
      <c r="H345"/>
      <c r="I345" s="534"/>
      <c r="J345" s="1541"/>
      <c r="L345" s="1541"/>
      <c r="M345" s="1541"/>
      <c r="N345" s="513"/>
      <c r="O345" s="554"/>
      <c r="P345" s="444" t="str">
        <f t="shared" si="21"/>
        <v/>
      </c>
    </row>
    <row r="346" spans="7:16">
      <c r="G346" s="1540"/>
      <c r="H346"/>
      <c r="I346" s="534"/>
      <c r="J346" s="1541"/>
      <c r="L346" s="1541"/>
      <c r="M346" s="1541"/>
      <c r="N346" s="513"/>
      <c r="O346" s="554"/>
      <c r="P346" s="444" t="str">
        <f t="shared" si="21"/>
        <v/>
      </c>
    </row>
    <row r="347" spans="7:16">
      <c r="G347" s="1540"/>
      <c r="H347"/>
      <c r="I347" s="534"/>
      <c r="J347" s="1541"/>
      <c r="L347" s="1541"/>
      <c r="M347" s="1541"/>
      <c r="N347" s="513"/>
      <c r="O347" s="554"/>
      <c r="P347" s="444" t="str">
        <f t="shared" si="21"/>
        <v/>
      </c>
    </row>
    <row r="348" spans="7:16">
      <c r="G348" s="1540"/>
      <c r="H348"/>
      <c r="I348" s="534"/>
      <c r="J348" s="1541"/>
      <c r="L348" s="1541"/>
      <c r="M348" s="1541"/>
      <c r="N348" s="513"/>
      <c r="O348" s="554"/>
      <c r="P348" s="444" t="str">
        <f t="shared" si="21"/>
        <v/>
      </c>
    </row>
    <row r="349" spans="7:16">
      <c r="G349" s="1540"/>
      <c r="H349"/>
      <c r="I349" s="534"/>
      <c r="J349" s="1541"/>
      <c r="L349" s="1541"/>
      <c r="M349" s="1541"/>
      <c r="N349" s="513"/>
      <c r="O349" s="554"/>
      <c r="P349" s="444" t="str">
        <f t="shared" si="21"/>
        <v/>
      </c>
    </row>
    <row r="350" spans="7:16">
      <c r="G350" s="1540"/>
      <c r="H350"/>
      <c r="I350" s="534"/>
      <c r="J350" s="1541"/>
      <c r="L350" s="1541"/>
      <c r="M350" s="1541"/>
      <c r="N350" s="513"/>
      <c r="O350" s="554"/>
      <c r="P350" s="444" t="str">
        <f t="shared" si="21"/>
        <v/>
      </c>
    </row>
    <row r="351" spans="7:16">
      <c r="G351" s="1540"/>
      <c r="H351"/>
      <c r="I351" s="534"/>
      <c r="J351" s="1541"/>
      <c r="L351" s="1541"/>
      <c r="M351" s="1541"/>
      <c r="N351" s="513"/>
      <c r="O351" s="554"/>
      <c r="P351" s="444" t="str">
        <f t="shared" si="21"/>
        <v/>
      </c>
    </row>
    <row r="352" spans="7:16">
      <c r="G352" s="1540"/>
      <c r="H352"/>
      <c r="I352" s="534"/>
      <c r="J352" s="1541"/>
      <c r="L352" s="1541"/>
      <c r="M352" s="1541"/>
      <c r="N352" s="513"/>
      <c r="O352" s="554"/>
      <c r="P352" s="444" t="str">
        <f t="shared" si="21"/>
        <v/>
      </c>
    </row>
    <row r="353" spans="7:16">
      <c r="G353" s="1540"/>
      <c r="H353"/>
      <c r="I353" s="534"/>
      <c r="J353" s="1541"/>
      <c r="L353" s="1541"/>
      <c r="M353" s="1541"/>
      <c r="N353" s="513"/>
      <c r="O353" s="554"/>
      <c r="P353" s="444" t="str">
        <f t="shared" si="21"/>
        <v/>
      </c>
    </row>
    <row r="354" spans="7:16">
      <c r="G354" s="1540"/>
      <c r="H354"/>
      <c r="I354" s="534"/>
      <c r="J354" s="1541"/>
      <c r="L354" s="1541"/>
      <c r="M354" s="1541"/>
      <c r="N354" s="513"/>
      <c r="O354" s="554"/>
      <c r="P354" s="444" t="str">
        <f t="shared" si="21"/>
        <v/>
      </c>
    </row>
    <row r="355" spans="7:16">
      <c r="G355" s="1540"/>
      <c r="H355"/>
      <c r="I355" s="534"/>
      <c r="J355" s="1541"/>
      <c r="L355" s="1541"/>
      <c r="M355" s="1541"/>
      <c r="N355" s="513"/>
      <c r="O355" s="554"/>
      <c r="P355" s="444" t="str">
        <f t="shared" si="21"/>
        <v/>
      </c>
    </row>
    <row r="356" spans="7:16">
      <c r="G356" s="1540"/>
      <c r="H356"/>
      <c r="I356" s="534"/>
      <c r="J356" s="1541"/>
      <c r="L356" s="1541"/>
      <c r="M356" s="1541"/>
      <c r="N356" s="513"/>
      <c r="O356" s="554"/>
      <c r="P356" s="444" t="str">
        <f t="shared" si="21"/>
        <v/>
      </c>
    </row>
    <row r="357" spans="7:16">
      <c r="G357" s="1540"/>
      <c r="H357"/>
      <c r="I357" s="534"/>
      <c r="J357" s="1541"/>
      <c r="L357" s="1541"/>
      <c r="M357" s="1541"/>
      <c r="N357" s="513"/>
      <c r="O357" s="554"/>
      <c r="P357" s="444" t="str">
        <f t="shared" si="21"/>
        <v/>
      </c>
    </row>
    <row r="358" spans="7:16">
      <c r="G358" s="1540"/>
      <c r="H358"/>
      <c r="I358" s="534"/>
      <c r="J358" s="1541"/>
      <c r="L358" s="1541"/>
      <c r="M358" s="1541"/>
      <c r="N358" s="513"/>
      <c r="O358" s="554"/>
      <c r="P358" s="444" t="str">
        <f t="shared" si="21"/>
        <v/>
      </c>
    </row>
    <row r="359" spans="7:16">
      <c r="G359" s="1540"/>
      <c r="H359"/>
      <c r="I359" s="534"/>
      <c r="J359" s="1541"/>
      <c r="L359" s="1541"/>
      <c r="M359" s="1541"/>
      <c r="N359" s="513"/>
      <c r="O359" s="554"/>
      <c r="P359" s="444" t="str">
        <f t="shared" si="21"/>
        <v/>
      </c>
    </row>
    <row r="360" spans="7:16">
      <c r="G360" s="1540"/>
      <c r="H360"/>
      <c r="I360" s="534"/>
      <c r="J360" s="1541"/>
      <c r="L360" s="1541"/>
      <c r="M360" s="1541"/>
      <c r="N360" s="513"/>
      <c r="O360" s="554"/>
      <c r="P360" s="444" t="str">
        <f t="shared" si="21"/>
        <v/>
      </c>
    </row>
    <row r="361" spans="7:16">
      <c r="G361" s="1540"/>
      <c r="H361"/>
      <c r="I361" s="534"/>
      <c r="J361" s="1541"/>
      <c r="L361" s="1541"/>
      <c r="M361" s="1541"/>
      <c r="N361" s="513"/>
      <c r="O361" s="554"/>
      <c r="P361" s="444" t="str">
        <f t="shared" si="21"/>
        <v/>
      </c>
    </row>
    <row r="362" spans="7:16">
      <c r="G362" s="1540"/>
      <c r="H362"/>
      <c r="I362" s="534"/>
      <c r="J362" s="1541"/>
      <c r="L362" s="1541"/>
      <c r="M362" s="1541"/>
      <c r="N362" s="513"/>
      <c r="O362" s="554"/>
      <c r="P362" s="444" t="str">
        <f t="shared" si="21"/>
        <v/>
      </c>
    </row>
    <row r="363" spans="7:16">
      <c r="G363" s="1540"/>
      <c r="H363"/>
      <c r="I363" s="534"/>
      <c r="J363" s="1541"/>
      <c r="L363" s="1541"/>
      <c r="M363" s="1541"/>
      <c r="N363" s="513"/>
      <c r="O363" s="554"/>
      <c r="P363" s="444" t="str">
        <f t="shared" si="21"/>
        <v/>
      </c>
    </row>
    <row r="364" spans="7:16">
      <c r="G364" s="1540"/>
      <c r="H364"/>
      <c r="I364" s="534"/>
      <c r="J364" s="1541"/>
      <c r="L364" s="1541"/>
      <c r="M364" s="1541"/>
      <c r="N364" s="513"/>
      <c r="O364" s="554"/>
      <c r="P364" s="444" t="str">
        <f t="shared" si="21"/>
        <v/>
      </c>
    </row>
    <row r="365" spans="7:16">
      <c r="G365" s="1540"/>
      <c r="H365"/>
      <c r="I365" s="534"/>
      <c r="J365" s="1541"/>
      <c r="L365" s="1541"/>
      <c r="M365" s="1541"/>
      <c r="N365" s="513"/>
      <c r="O365" s="554"/>
      <c r="P365" s="444" t="str">
        <f t="shared" si="21"/>
        <v/>
      </c>
    </row>
    <row r="366" spans="7:16">
      <c r="G366" s="1540"/>
      <c r="H366"/>
      <c r="I366" s="534"/>
      <c r="J366" s="1541"/>
      <c r="L366" s="1541"/>
      <c r="M366" s="1541"/>
      <c r="N366" s="513"/>
      <c r="O366" s="554"/>
      <c r="P366" s="444" t="str">
        <f t="shared" si="21"/>
        <v/>
      </c>
    </row>
    <row r="367" spans="7:16">
      <c r="G367" s="1540"/>
      <c r="H367"/>
      <c r="I367" s="534"/>
      <c r="J367" s="1541"/>
      <c r="L367" s="1541"/>
      <c r="M367" s="1541"/>
      <c r="N367" s="513"/>
      <c r="O367" s="554"/>
      <c r="P367" s="444" t="str">
        <f t="shared" si="21"/>
        <v/>
      </c>
    </row>
    <row r="368" spans="7:16">
      <c r="G368" s="1540"/>
      <c r="H368"/>
      <c r="I368" s="534"/>
      <c r="J368" s="1541"/>
      <c r="L368" s="1541"/>
      <c r="M368" s="1541"/>
      <c r="N368" s="513"/>
      <c r="O368" s="554"/>
      <c r="P368" s="444" t="str">
        <f t="shared" si="21"/>
        <v/>
      </c>
    </row>
    <row r="369" spans="7:16">
      <c r="G369" s="1540"/>
      <c r="H369"/>
      <c r="I369" s="534"/>
      <c r="J369" s="1541"/>
      <c r="L369" s="1541"/>
      <c r="M369" s="1541"/>
      <c r="N369" s="513"/>
      <c r="O369" s="554"/>
      <c r="P369" s="444" t="str">
        <f t="shared" si="21"/>
        <v/>
      </c>
    </row>
    <row r="370" spans="7:16">
      <c r="G370" s="1540"/>
      <c r="H370"/>
      <c r="I370" s="534"/>
      <c r="J370" s="1541"/>
      <c r="L370" s="1541"/>
      <c r="M370" s="1541"/>
      <c r="N370" s="513"/>
      <c r="O370" s="554"/>
      <c r="P370" s="444" t="str">
        <f t="shared" si="21"/>
        <v/>
      </c>
    </row>
    <row r="371" spans="7:16">
      <c r="G371" s="1540"/>
      <c r="H371"/>
      <c r="I371" s="534"/>
      <c r="J371" s="1541"/>
      <c r="L371" s="1541"/>
      <c r="M371" s="1541"/>
      <c r="N371" s="513"/>
      <c r="O371" s="554"/>
      <c r="P371" s="444" t="str">
        <f t="shared" si="21"/>
        <v/>
      </c>
    </row>
    <row r="372" spans="7:16">
      <c r="G372" s="1540"/>
      <c r="H372"/>
      <c r="I372" s="534"/>
      <c r="J372" s="1541"/>
      <c r="L372" s="1541"/>
      <c r="M372" s="1541"/>
      <c r="N372" s="513"/>
      <c r="O372" s="554"/>
      <c r="P372" s="444" t="str">
        <f t="shared" si="21"/>
        <v/>
      </c>
    </row>
    <row r="373" spans="7:16">
      <c r="G373" s="1540"/>
      <c r="H373"/>
      <c r="I373" s="534"/>
      <c r="J373" s="1541"/>
      <c r="L373" s="1541"/>
      <c r="M373" s="1541"/>
      <c r="N373" s="513"/>
      <c r="O373" s="554"/>
      <c r="P373" s="444" t="str">
        <f t="shared" si="21"/>
        <v/>
      </c>
    </row>
    <row r="374" spans="7:16">
      <c r="G374" s="1540"/>
      <c r="H374"/>
      <c r="I374" s="534"/>
      <c r="J374" s="1541"/>
      <c r="L374" s="1541"/>
      <c r="M374" s="1541"/>
      <c r="N374" s="513"/>
      <c r="O374" s="554"/>
      <c r="P374" s="444" t="str">
        <f t="shared" si="21"/>
        <v/>
      </c>
    </row>
    <row r="375" spans="7:16">
      <c r="G375" s="1540"/>
      <c r="H375"/>
      <c r="I375" s="534"/>
      <c r="J375" s="1541"/>
      <c r="L375" s="1541"/>
      <c r="M375" s="1541"/>
      <c r="N375" s="513"/>
      <c r="O375" s="554"/>
      <c r="P375" s="444" t="str">
        <f t="shared" si="21"/>
        <v/>
      </c>
    </row>
    <row r="376" spans="7:16">
      <c r="G376" s="1540"/>
      <c r="H376"/>
      <c r="I376" s="534"/>
      <c r="J376" s="1541"/>
      <c r="L376" s="1541"/>
      <c r="M376" s="1541"/>
      <c r="N376" s="513"/>
      <c r="O376" s="554"/>
      <c r="P376" s="444" t="str">
        <f t="shared" si="21"/>
        <v/>
      </c>
    </row>
    <row r="377" spans="7:16">
      <c r="G377" s="1540"/>
      <c r="H377"/>
      <c r="I377" s="534"/>
      <c r="J377" s="1541"/>
      <c r="L377" s="1541"/>
      <c r="M377" s="1541"/>
      <c r="N377" s="513"/>
      <c r="O377" s="554"/>
      <c r="P377" s="444" t="str">
        <f t="shared" si="21"/>
        <v/>
      </c>
    </row>
    <row r="378" spans="7:16">
      <c r="G378" s="1540"/>
      <c r="H378"/>
      <c r="I378" s="534"/>
      <c r="J378" s="1541"/>
      <c r="L378" s="1541"/>
      <c r="M378" s="1541"/>
      <c r="N378" s="513"/>
      <c r="O378" s="554"/>
      <c r="P378" s="444" t="str">
        <f t="shared" si="21"/>
        <v/>
      </c>
    </row>
    <row r="379" spans="7:16">
      <c r="G379" s="1540"/>
      <c r="H379"/>
      <c r="I379" s="534"/>
      <c r="J379" s="1541"/>
      <c r="L379" s="1541"/>
      <c r="M379" s="1541"/>
      <c r="N379" s="513"/>
      <c r="O379" s="554"/>
      <c r="P379" s="444" t="str">
        <f t="shared" si="21"/>
        <v/>
      </c>
    </row>
    <row r="380" spans="7:16">
      <c r="G380" s="1540"/>
      <c r="H380"/>
      <c r="I380" s="534"/>
      <c r="J380" s="1541"/>
      <c r="L380" s="1541"/>
      <c r="M380" s="1541"/>
      <c r="N380" s="513"/>
      <c r="O380" s="554"/>
      <c r="P380" s="444" t="str">
        <f t="shared" si="21"/>
        <v/>
      </c>
    </row>
    <row r="381" spans="7:16">
      <c r="G381" s="1540"/>
      <c r="H381"/>
      <c r="I381" s="534"/>
      <c r="J381" s="1541"/>
      <c r="L381" s="1541"/>
      <c r="M381" s="1541"/>
      <c r="N381" s="513"/>
      <c r="O381" s="554"/>
      <c r="P381" s="444" t="str">
        <f t="shared" si="21"/>
        <v/>
      </c>
    </row>
    <row r="382" spans="7:16">
      <c r="G382" s="1540"/>
      <c r="H382"/>
      <c r="I382" s="534"/>
      <c r="J382" s="1541"/>
      <c r="L382" s="1541"/>
      <c r="M382" s="1541"/>
      <c r="N382" s="513"/>
      <c r="O382" s="554"/>
      <c r="P382" s="444" t="str">
        <f t="shared" si="21"/>
        <v/>
      </c>
    </row>
    <row r="383" spans="7:16">
      <c r="G383" s="1540"/>
      <c r="H383"/>
      <c r="I383" s="534"/>
      <c r="J383" s="1541"/>
      <c r="L383" s="1541"/>
      <c r="M383" s="1541"/>
      <c r="N383" s="513"/>
      <c r="O383" s="554"/>
      <c r="P383" s="444" t="str">
        <f t="shared" si="21"/>
        <v/>
      </c>
    </row>
    <row r="384" spans="7:16">
      <c r="G384" s="1540"/>
      <c r="H384"/>
      <c r="I384" s="534"/>
      <c r="J384" s="1541"/>
      <c r="L384" s="1541"/>
      <c r="M384" s="1541"/>
      <c r="N384" s="513"/>
      <c r="O384" s="554"/>
      <c r="P384" s="444" t="str">
        <f t="shared" si="21"/>
        <v/>
      </c>
    </row>
    <row r="385" spans="7:16">
      <c r="G385" s="1540"/>
      <c r="H385"/>
      <c r="I385" s="534"/>
      <c r="J385" s="1541"/>
      <c r="L385" s="1541"/>
      <c r="M385" s="1541"/>
      <c r="N385" s="513"/>
      <c r="O385" s="554"/>
      <c r="P385" s="444" t="str">
        <f t="shared" si="21"/>
        <v/>
      </c>
    </row>
    <row r="386" spans="7:16">
      <c r="G386" s="1540"/>
      <c r="H386"/>
      <c r="I386" s="534"/>
      <c r="J386" s="1541"/>
      <c r="L386" s="1541"/>
      <c r="M386" s="1541"/>
      <c r="N386" s="513"/>
      <c r="O386" s="554"/>
      <c r="P386" s="444" t="str">
        <f t="shared" si="21"/>
        <v/>
      </c>
    </row>
    <row r="387" spans="7:16">
      <c r="G387" s="1540"/>
      <c r="H387"/>
      <c r="I387" s="534"/>
      <c r="J387" s="1541"/>
      <c r="L387" s="1541"/>
      <c r="M387" s="1541"/>
      <c r="N387" s="513"/>
      <c r="O387" s="554"/>
      <c r="P387" s="444" t="str">
        <f t="shared" si="21"/>
        <v/>
      </c>
    </row>
    <row r="388" spans="7:16">
      <c r="G388" s="1540"/>
      <c r="H388"/>
      <c r="I388" s="534"/>
      <c r="J388" s="1541"/>
      <c r="L388" s="1541"/>
      <c r="M388" s="1541"/>
      <c r="N388" s="513"/>
      <c r="O388" s="554"/>
      <c r="P388" s="444" t="str">
        <f t="shared" si="21"/>
        <v/>
      </c>
    </row>
    <row r="389" spans="7:16">
      <c r="G389" s="1540"/>
      <c r="H389"/>
      <c r="I389" s="534"/>
      <c r="J389" s="1541"/>
      <c r="L389" s="1541"/>
      <c r="M389" s="1541"/>
      <c r="N389" s="513"/>
      <c r="O389" s="554"/>
      <c r="P389" s="444" t="str">
        <f t="shared" si="21"/>
        <v/>
      </c>
    </row>
    <row r="390" spans="7:16">
      <c r="G390" s="1540"/>
      <c r="H390"/>
      <c r="I390" s="534"/>
      <c r="J390" s="1541"/>
      <c r="L390" s="1541"/>
      <c r="M390" s="1541"/>
      <c r="N390" s="513"/>
      <c r="O390" s="554"/>
      <c r="P390" s="444" t="str">
        <f t="shared" si="21"/>
        <v/>
      </c>
    </row>
    <row r="391" spans="7:16">
      <c r="G391" s="1540"/>
      <c r="H391"/>
      <c r="I391" s="534"/>
      <c r="J391" s="1541"/>
      <c r="L391" s="1541"/>
      <c r="M391" s="1541"/>
      <c r="N391" s="513"/>
      <c r="O391" s="554"/>
      <c r="P391" s="444" t="str">
        <f t="shared" si="21"/>
        <v/>
      </c>
    </row>
    <row r="392" spans="7:16">
      <c r="G392" s="1540"/>
      <c r="H392"/>
      <c r="I392" s="534"/>
      <c r="J392" s="1541"/>
      <c r="L392" s="1541"/>
      <c r="M392" s="1541"/>
      <c r="N392" s="513"/>
      <c r="O392" s="554"/>
      <c r="P392" s="444" t="str">
        <f t="shared" si="21"/>
        <v/>
      </c>
    </row>
    <row r="393" spans="7:16">
      <c r="G393" s="1540"/>
      <c r="H393"/>
      <c r="I393" s="534"/>
      <c r="J393" s="1541"/>
      <c r="L393" s="1541"/>
      <c r="M393" s="1541"/>
      <c r="N393" s="513"/>
      <c r="O393" s="554"/>
      <c r="P393" s="444" t="str">
        <f t="shared" si="21"/>
        <v/>
      </c>
    </row>
    <row r="394" spans="7:16">
      <c r="G394" s="1540"/>
      <c r="H394"/>
      <c r="I394" s="534"/>
      <c r="J394" s="1541"/>
      <c r="L394" s="1541"/>
      <c r="M394" s="1541"/>
      <c r="N394" s="513"/>
      <c r="O394" s="554"/>
      <c r="P394" s="444" t="str">
        <f t="shared" si="21"/>
        <v/>
      </c>
    </row>
    <row r="395" spans="7:16">
      <c r="G395" s="1540"/>
      <c r="H395"/>
      <c r="I395" s="534"/>
      <c r="J395" s="1541"/>
      <c r="L395" s="1541"/>
      <c r="M395" s="1541"/>
      <c r="N395" s="513"/>
      <c r="O395" s="554"/>
      <c r="P395" s="444" t="str">
        <f t="shared" si="21"/>
        <v/>
      </c>
    </row>
    <row r="396" spans="7:16">
      <c r="G396" s="1540"/>
      <c r="H396"/>
      <c r="I396" s="534"/>
      <c r="J396" s="1541"/>
      <c r="L396" s="1541"/>
      <c r="M396" s="1541"/>
      <c r="N396" s="513"/>
      <c r="O396" s="554"/>
      <c r="P396" s="444" t="str">
        <f t="shared" si="21"/>
        <v/>
      </c>
    </row>
    <row r="397" spans="7:16">
      <c r="G397" s="1540"/>
      <c r="H397"/>
      <c r="I397" s="534"/>
      <c r="J397" s="1541"/>
      <c r="L397" s="1541"/>
      <c r="M397" s="1541"/>
      <c r="N397" s="513"/>
      <c r="O397" s="554"/>
      <c r="P397" s="444" t="str">
        <f t="shared" ref="P397:P460" si="22">IFERROR(INDEX($A$12:$A$36,MATCH($N397,$D$12:$D$36,0)),"")</f>
        <v/>
      </c>
    </row>
    <row r="398" spans="7:16">
      <c r="G398" s="1540"/>
      <c r="H398"/>
      <c r="I398" s="534"/>
      <c r="J398" s="1541"/>
      <c r="L398" s="1541"/>
      <c r="M398" s="1541"/>
      <c r="N398" s="513"/>
      <c r="O398" s="554"/>
      <c r="P398" s="444" t="str">
        <f t="shared" si="22"/>
        <v/>
      </c>
    </row>
    <row r="399" spans="7:16">
      <c r="G399" s="1540"/>
      <c r="H399"/>
      <c r="I399" s="534"/>
      <c r="J399" s="1541"/>
      <c r="L399" s="1541"/>
      <c r="M399" s="1541"/>
      <c r="N399" s="513"/>
      <c r="O399" s="554"/>
      <c r="P399" s="444" t="str">
        <f t="shared" si="22"/>
        <v/>
      </c>
    </row>
    <row r="400" spans="7:16">
      <c r="G400" s="1540"/>
      <c r="H400"/>
      <c r="I400" s="534"/>
      <c r="J400" s="1541"/>
      <c r="L400" s="1541"/>
      <c r="M400" s="1541"/>
      <c r="N400" s="513"/>
      <c r="O400" s="554"/>
      <c r="P400" s="444" t="str">
        <f t="shared" si="22"/>
        <v/>
      </c>
    </row>
    <row r="401" spans="7:16">
      <c r="G401" s="1540"/>
      <c r="H401"/>
      <c r="I401" s="534"/>
      <c r="J401" s="1541"/>
      <c r="L401" s="1541"/>
      <c r="M401" s="1541"/>
      <c r="N401" s="513"/>
      <c r="O401" s="554"/>
      <c r="P401" s="444" t="str">
        <f t="shared" si="22"/>
        <v/>
      </c>
    </row>
    <row r="402" spans="7:16">
      <c r="G402" s="1540"/>
      <c r="H402"/>
      <c r="I402" s="534"/>
      <c r="J402" s="1541"/>
      <c r="L402" s="1541"/>
      <c r="M402" s="1541"/>
      <c r="N402" s="513"/>
      <c r="O402" s="554"/>
      <c r="P402" s="444" t="str">
        <f t="shared" si="22"/>
        <v/>
      </c>
    </row>
    <row r="403" spans="7:16">
      <c r="G403" s="1540"/>
      <c r="H403"/>
      <c r="I403" s="534"/>
      <c r="J403" s="1541"/>
      <c r="L403" s="1541"/>
      <c r="M403" s="1541"/>
      <c r="N403" s="513"/>
      <c r="O403" s="554"/>
      <c r="P403" s="444" t="str">
        <f t="shared" si="22"/>
        <v/>
      </c>
    </row>
    <row r="404" spans="7:16">
      <c r="G404" s="1540"/>
      <c r="H404"/>
      <c r="I404" s="534"/>
      <c r="J404" s="1541"/>
      <c r="L404" s="1541"/>
      <c r="M404" s="1541"/>
      <c r="N404" s="513"/>
      <c r="O404" s="554"/>
      <c r="P404" s="444" t="str">
        <f t="shared" si="22"/>
        <v/>
      </c>
    </row>
    <row r="405" spans="7:16">
      <c r="G405" s="1540"/>
      <c r="H405"/>
      <c r="I405" s="534"/>
      <c r="J405" s="1541"/>
      <c r="L405" s="1541"/>
      <c r="M405" s="1541"/>
      <c r="N405" s="513"/>
      <c r="O405" s="554"/>
      <c r="P405" s="444" t="str">
        <f t="shared" si="22"/>
        <v/>
      </c>
    </row>
    <row r="406" spans="7:16">
      <c r="G406" s="1540"/>
      <c r="H406"/>
      <c r="I406" s="534"/>
      <c r="J406" s="1541"/>
      <c r="L406" s="1541"/>
      <c r="M406" s="1541"/>
      <c r="N406" s="513"/>
      <c r="O406" s="554"/>
      <c r="P406" s="444" t="str">
        <f t="shared" si="22"/>
        <v/>
      </c>
    </row>
    <row r="407" spans="7:16">
      <c r="G407" s="1540"/>
      <c r="H407"/>
      <c r="I407" s="534"/>
      <c r="J407" s="1541"/>
      <c r="L407" s="1541"/>
      <c r="M407" s="1541"/>
      <c r="N407" s="513"/>
      <c r="O407" s="554"/>
      <c r="P407" s="444" t="str">
        <f t="shared" si="22"/>
        <v/>
      </c>
    </row>
    <row r="408" spans="7:16">
      <c r="G408" s="1540"/>
      <c r="H408"/>
      <c r="I408" s="534"/>
      <c r="J408" s="1541"/>
      <c r="L408" s="1541"/>
      <c r="M408" s="1541"/>
      <c r="N408" s="513"/>
      <c r="O408" s="554"/>
      <c r="P408" s="444" t="str">
        <f t="shared" si="22"/>
        <v/>
      </c>
    </row>
    <row r="409" spans="7:16">
      <c r="G409" s="1540"/>
      <c r="H409"/>
      <c r="I409" s="534"/>
      <c r="J409" s="1541"/>
      <c r="L409" s="1541"/>
      <c r="M409" s="1541"/>
      <c r="N409" s="513"/>
      <c r="O409" s="554"/>
      <c r="P409" s="444" t="str">
        <f t="shared" si="22"/>
        <v/>
      </c>
    </row>
    <row r="410" spans="7:16">
      <c r="G410" s="1540"/>
      <c r="H410"/>
      <c r="I410" s="534"/>
      <c r="J410" s="1541"/>
      <c r="L410" s="1541"/>
      <c r="M410" s="1541"/>
      <c r="N410" s="513"/>
      <c r="O410" s="554"/>
      <c r="P410" s="444" t="str">
        <f t="shared" si="22"/>
        <v/>
      </c>
    </row>
    <row r="411" spans="7:16">
      <c r="G411" s="1540"/>
      <c r="H411"/>
      <c r="I411" s="534"/>
      <c r="J411" s="1541"/>
      <c r="L411" s="1541"/>
      <c r="M411" s="1541"/>
      <c r="N411" s="513"/>
      <c r="O411" s="554"/>
      <c r="P411" s="444" t="str">
        <f t="shared" si="22"/>
        <v/>
      </c>
    </row>
    <row r="412" spans="7:16">
      <c r="G412" s="1540"/>
      <c r="H412"/>
      <c r="I412" s="534"/>
      <c r="J412" s="1541"/>
      <c r="L412" s="1541"/>
      <c r="M412" s="1541"/>
      <c r="N412" s="513"/>
      <c r="O412" s="554"/>
      <c r="P412" s="444" t="str">
        <f t="shared" si="22"/>
        <v/>
      </c>
    </row>
    <row r="413" spans="7:16">
      <c r="G413" s="1540"/>
      <c r="H413"/>
      <c r="I413" s="534"/>
      <c r="J413" s="1541"/>
      <c r="L413" s="1541"/>
      <c r="M413" s="1541"/>
      <c r="N413" s="513"/>
      <c r="O413" s="554"/>
      <c r="P413" s="444" t="str">
        <f t="shared" si="22"/>
        <v/>
      </c>
    </row>
    <row r="414" spans="7:16">
      <c r="G414" s="1540"/>
      <c r="H414"/>
      <c r="I414" s="534"/>
      <c r="J414" s="1541"/>
      <c r="L414" s="1541"/>
      <c r="M414" s="1541"/>
      <c r="N414" s="513"/>
      <c r="O414" s="554"/>
      <c r="P414" s="444" t="str">
        <f t="shared" si="22"/>
        <v/>
      </c>
    </row>
    <row r="415" spans="7:16">
      <c r="G415" s="1540"/>
      <c r="H415"/>
      <c r="I415" s="534"/>
      <c r="J415" s="1541"/>
      <c r="L415" s="1541"/>
      <c r="M415" s="1541"/>
      <c r="N415" s="513"/>
      <c r="O415" s="554"/>
      <c r="P415" s="444" t="str">
        <f t="shared" si="22"/>
        <v/>
      </c>
    </row>
    <row r="416" spans="7:16">
      <c r="G416" s="1540"/>
      <c r="H416"/>
      <c r="I416" s="534"/>
      <c r="J416" s="1541"/>
      <c r="L416" s="1541"/>
      <c r="M416" s="1541"/>
      <c r="N416" s="513"/>
      <c r="O416" s="554"/>
      <c r="P416" s="444" t="str">
        <f t="shared" si="22"/>
        <v/>
      </c>
    </row>
    <row r="417" spans="7:16">
      <c r="G417" s="1540"/>
      <c r="H417"/>
      <c r="I417" s="534"/>
      <c r="J417" s="1541"/>
      <c r="L417" s="1541"/>
      <c r="M417" s="1541"/>
      <c r="N417" s="513"/>
      <c r="O417" s="554"/>
      <c r="P417" s="444" t="str">
        <f t="shared" si="22"/>
        <v/>
      </c>
    </row>
    <row r="418" spans="7:16">
      <c r="G418" s="1540"/>
      <c r="H418"/>
      <c r="I418" s="534"/>
      <c r="J418" s="1541"/>
      <c r="L418" s="1541"/>
      <c r="M418" s="1541"/>
      <c r="N418" s="513"/>
      <c r="O418" s="554"/>
      <c r="P418" s="444" t="str">
        <f t="shared" si="22"/>
        <v/>
      </c>
    </row>
    <row r="419" spans="7:16">
      <c r="G419" s="1540"/>
      <c r="H419"/>
      <c r="I419" s="534"/>
      <c r="J419" s="1541"/>
      <c r="L419" s="1541"/>
      <c r="M419" s="1541"/>
      <c r="N419" s="513"/>
      <c r="O419" s="554"/>
      <c r="P419" s="444" t="str">
        <f t="shared" si="22"/>
        <v/>
      </c>
    </row>
    <row r="420" spans="7:16">
      <c r="G420" s="1540"/>
      <c r="H420"/>
      <c r="I420" s="534"/>
      <c r="J420" s="1541"/>
      <c r="L420" s="1541"/>
      <c r="M420" s="1541"/>
      <c r="N420" s="513"/>
      <c r="O420" s="554"/>
      <c r="P420" s="444" t="str">
        <f t="shared" si="22"/>
        <v/>
      </c>
    </row>
    <row r="421" spans="7:16">
      <c r="G421" s="1540"/>
      <c r="H421"/>
      <c r="I421" s="534"/>
      <c r="J421" s="1541"/>
      <c r="L421" s="1541"/>
      <c r="M421" s="1541"/>
      <c r="N421" s="513"/>
      <c r="O421" s="554"/>
      <c r="P421" s="444" t="str">
        <f t="shared" si="22"/>
        <v/>
      </c>
    </row>
    <row r="422" spans="7:16">
      <c r="G422" s="1540"/>
      <c r="H422"/>
      <c r="I422" s="534"/>
      <c r="J422" s="1541"/>
      <c r="L422" s="1541"/>
      <c r="M422" s="1541"/>
      <c r="N422" s="513"/>
      <c r="O422" s="554"/>
      <c r="P422" s="444" t="str">
        <f t="shared" si="22"/>
        <v/>
      </c>
    </row>
    <row r="423" spans="7:16">
      <c r="G423" s="1540"/>
      <c r="H423"/>
      <c r="I423" s="534"/>
      <c r="J423" s="1541"/>
      <c r="L423" s="1541"/>
      <c r="M423" s="1541"/>
      <c r="N423" s="513"/>
      <c r="O423" s="554"/>
      <c r="P423" s="444" t="str">
        <f t="shared" si="22"/>
        <v/>
      </c>
    </row>
    <row r="424" spans="7:16">
      <c r="G424" s="1540"/>
      <c r="H424"/>
      <c r="I424" s="534"/>
      <c r="J424" s="1541"/>
      <c r="L424" s="1541"/>
      <c r="M424" s="1541"/>
      <c r="N424" s="513"/>
      <c r="O424" s="554"/>
      <c r="P424" s="444" t="str">
        <f t="shared" si="22"/>
        <v/>
      </c>
    </row>
    <row r="425" spans="7:16">
      <c r="G425" s="1540"/>
      <c r="H425"/>
      <c r="I425" s="534"/>
      <c r="J425" s="1541"/>
      <c r="L425" s="1541"/>
      <c r="M425" s="1541"/>
      <c r="N425" s="513"/>
      <c r="O425" s="554"/>
      <c r="P425" s="444" t="str">
        <f t="shared" si="22"/>
        <v/>
      </c>
    </row>
    <row r="426" spans="7:16">
      <c r="G426" s="1540"/>
      <c r="H426"/>
      <c r="I426" s="534"/>
      <c r="J426" s="1541"/>
      <c r="L426" s="1541"/>
      <c r="M426" s="1541"/>
      <c r="N426" s="513"/>
      <c r="O426" s="554"/>
      <c r="P426" s="444" t="str">
        <f t="shared" si="22"/>
        <v/>
      </c>
    </row>
    <row r="427" spans="7:16">
      <c r="G427" s="1540"/>
      <c r="H427"/>
      <c r="I427" s="534"/>
      <c r="J427" s="1541"/>
      <c r="L427" s="1541"/>
      <c r="M427" s="1541"/>
      <c r="N427" s="513"/>
      <c r="O427" s="554"/>
      <c r="P427" s="444" t="str">
        <f t="shared" si="22"/>
        <v/>
      </c>
    </row>
    <row r="428" spans="7:16">
      <c r="G428" s="1540"/>
      <c r="H428"/>
      <c r="I428" s="534"/>
      <c r="J428" s="1541"/>
      <c r="L428" s="1541"/>
      <c r="M428" s="1541"/>
      <c r="N428" s="513"/>
      <c r="O428" s="554"/>
      <c r="P428" s="444" t="str">
        <f t="shared" si="22"/>
        <v/>
      </c>
    </row>
    <row r="429" spans="7:16">
      <c r="G429" s="1540"/>
      <c r="H429"/>
      <c r="I429" s="534"/>
      <c r="J429" s="1541"/>
      <c r="L429" s="1541"/>
      <c r="M429" s="1541"/>
      <c r="N429" s="513"/>
      <c r="O429" s="554"/>
      <c r="P429" s="444" t="str">
        <f t="shared" si="22"/>
        <v/>
      </c>
    </row>
    <row r="430" spans="7:16">
      <c r="G430" s="1540"/>
      <c r="H430"/>
      <c r="I430" s="534"/>
      <c r="J430" s="1541"/>
      <c r="L430" s="1541"/>
      <c r="M430" s="1541"/>
      <c r="N430" s="513"/>
      <c r="O430" s="554"/>
      <c r="P430" s="444" t="str">
        <f t="shared" si="22"/>
        <v/>
      </c>
    </row>
    <row r="431" spans="7:16">
      <c r="G431" s="1540"/>
      <c r="H431"/>
      <c r="I431" s="534"/>
      <c r="J431" s="1541"/>
      <c r="L431" s="1541"/>
      <c r="M431" s="1541"/>
      <c r="N431" s="513"/>
      <c r="O431" s="554"/>
      <c r="P431" s="444" t="str">
        <f t="shared" si="22"/>
        <v/>
      </c>
    </row>
    <row r="432" spans="7:16">
      <c r="G432" s="1540"/>
      <c r="H432"/>
      <c r="I432" s="534"/>
      <c r="J432" s="1541"/>
      <c r="L432" s="1541"/>
      <c r="M432" s="1541"/>
      <c r="N432" s="513"/>
      <c r="O432" s="554"/>
      <c r="P432" s="444" t="str">
        <f t="shared" si="22"/>
        <v/>
      </c>
    </row>
    <row r="433" spans="7:16">
      <c r="G433" s="1540"/>
      <c r="H433"/>
      <c r="I433" s="534"/>
      <c r="J433" s="1541"/>
      <c r="L433" s="1541"/>
      <c r="M433" s="1541"/>
      <c r="N433" s="513"/>
      <c r="O433" s="554"/>
      <c r="P433" s="444" t="str">
        <f t="shared" si="22"/>
        <v/>
      </c>
    </row>
    <row r="434" spans="7:16">
      <c r="G434" s="1540"/>
      <c r="H434"/>
      <c r="I434" s="534"/>
      <c r="J434" s="1541"/>
      <c r="L434" s="1541"/>
      <c r="M434" s="1541"/>
      <c r="N434" s="513"/>
      <c r="O434" s="554"/>
      <c r="P434" s="444" t="str">
        <f t="shared" si="22"/>
        <v/>
      </c>
    </row>
    <row r="435" spans="7:16">
      <c r="G435" s="1540"/>
      <c r="H435"/>
      <c r="I435" s="534"/>
      <c r="J435" s="1541"/>
      <c r="L435" s="1541"/>
      <c r="M435" s="1541"/>
      <c r="N435" s="513"/>
      <c r="O435" s="554"/>
      <c r="P435" s="444" t="str">
        <f t="shared" si="22"/>
        <v/>
      </c>
    </row>
    <row r="436" spans="7:16">
      <c r="G436" s="1540"/>
      <c r="H436"/>
      <c r="I436" s="534"/>
      <c r="J436" s="1541"/>
      <c r="L436" s="1541"/>
      <c r="M436" s="1541"/>
      <c r="N436" s="513"/>
      <c r="O436" s="554"/>
      <c r="P436" s="444" t="str">
        <f t="shared" si="22"/>
        <v/>
      </c>
    </row>
    <row r="437" spans="7:16">
      <c r="G437" s="1540"/>
      <c r="H437"/>
      <c r="I437" s="534"/>
      <c r="J437" s="1541"/>
      <c r="L437" s="1541"/>
      <c r="M437" s="1541"/>
      <c r="N437" s="513"/>
      <c r="O437" s="554"/>
      <c r="P437" s="444" t="str">
        <f t="shared" si="22"/>
        <v/>
      </c>
    </row>
    <row r="438" spans="7:16">
      <c r="G438" s="1540"/>
      <c r="H438"/>
      <c r="I438" s="534"/>
      <c r="J438" s="1541"/>
      <c r="L438" s="1541"/>
      <c r="M438" s="1541"/>
      <c r="N438" s="513"/>
      <c r="O438" s="554"/>
      <c r="P438" s="444" t="str">
        <f t="shared" si="22"/>
        <v/>
      </c>
    </row>
    <row r="439" spans="7:16">
      <c r="G439" s="1540"/>
      <c r="H439"/>
      <c r="I439" s="534"/>
      <c r="J439" s="1541"/>
      <c r="L439" s="1541"/>
      <c r="M439" s="1541"/>
      <c r="N439" s="513"/>
      <c r="O439" s="554"/>
      <c r="P439" s="444" t="str">
        <f t="shared" si="22"/>
        <v/>
      </c>
    </row>
    <row r="440" spans="7:16">
      <c r="G440" s="1540"/>
      <c r="H440"/>
      <c r="I440" s="534"/>
      <c r="J440" s="1541"/>
      <c r="L440" s="1541"/>
      <c r="M440" s="1541"/>
      <c r="N440" s="513"/>
      <c r="O440" s="554"/>
      <c r="P440" s="444" t="str">
        <f t="shared" si="22"/>
        <v/>
      </c>
    </row>
    <row r="441" spans="7:16">
      <c r="G441" s="1540"/>
      <c r="H441"/>
      <c r="I441" s="534"/>
      <c r="J441" s="1541"/>
      <c r="L441" s="1541"/>
      <c r="M441" s="1541"/>
      <c r="N441" s="513"/>
      <c r="O441" s="554"/>
      <c r="P441" s="444" t="str">
        <f t="shared" si="22"/>
        <v/>
      </c>
    </row>
    <row r="442" spans="7:16">
      <c r="G442" s="1540"/>
      <c r="H442"/>
      <c r="I442" s="534"/>
      <c r="J442" s="1541"/>
      <c r="L442" s="1541"/>
      <c r="M442" s="1541"/>
      <c r="N442" s="513"/>
      <c r="O442" s="554"/>
      <c r="P442" s="444" t="str">
        <f t="shared" si="22"/>
        <v/>
      </c>
    </row>
    <row r="443" spans="7:16">
      <c r="G443" s="1540"/>
      <c r="H443"/>
      <c r="I443" s="534"/>
      <c r="J443" s="1541"/>
      <c r="L443" s="1541"/>
      <c r="M443" s="1541"/>
      <c r="N443" s="513"/>
      <c r="O443" s="554"/>
      <c r="P443" s="444" t="str">
        <f t="shared" si="22"/>
        <v/>
      </c>
    </row>
    <row r="444" spans="7:16">
      <c r="G444" s="1540"/>
      <c r="H444"/>
      <c r="I444" s="534"/>
      <c r="J444" s="1541"/>
      <c r="L444" s="1541"/>
      <c r="M444" s="1541"/>
      <c r="N444" s="513"/>
      <c r="O444" s="554"/>
      <c r="P444" s="444" t="str">
        <f t="shared" si="22"/>
        <v/>
      </c>
    </row>
    <row r="445" spans="7:16">
      <c r="G445" s="1540"/>
      <c r="H445"/>
      <c r="I445" s="534"/>
      <c r="J445" s="1541"/>
      <c r="L445" s="1541"/>
      <c r="M445" s="1541"/>
      <c r="N445" s="513"/>
      <c r="O445" s="554"/>
      <c r="P445" s="444" t="str">
        <f t="shared" si="22"/>
        <v/>
      </c>
    </row>
    <row r="446" spans="7:16">
      <c r="G446" s="1540"/>
      <c r="H446"/>
      <c r="I446" s="534"/>
      <c r="J446" s="1541"/>
      <c r="L446" s="1541"/>
      <c r="M446" s="1541"/>
      <c r="N446" s="513"/>
      <c r="O446" s="554"/>
      <c r="P446" s="444" t="str">
        <f t="shared" si="22"/>
        <v/>
      </c>
    </row>
    <row r="447" spans="7:16">
      <c r="G447" s="1540"/>
      <c r="H447"/>
      <c r="I447" s="534"/>
      <c r="J447" s="1541"/>
      <c r="L447" s="1541"/>
      <c r="M447" s="1541"/>
      <c r="N447" s="513"/>
      <c r="O447" s="554"/>
      <c r="P447" s="444" t="str">
        <f t="shared" si="22"/>
        <v/>
      </c>
    </row>
    <row r="448" spans="7:16">
      <c r="G448" s="1540"/>
      <c r="H448"/>
      <c r="I448" s="534"/>
      <c r="J448" s="1541"/>
      <c r="L448" s="1541"/>
      <c r="M448" s="1541"/>
      <c r="N448" s="513"/>
      <c r="O448" s="554"/>
      <c r="P448" s="444" t="str">
        <f t="shared" si="22"/>
        <v/>
      </c>
    </row>
    <row r="449" spans="7:16">
      <c r="G449" s="1540"/>
      <c r="H449"/>
      <c r="I449" s="534"/>
      <c r="J449" s="1541"/>
      <c r="L449" s="1541"/>
      <c r="M449" s="1541"/>
      <c r="N449" s="513"/>
      <c r="O449" s="554"/>
      <c r="P449" s="444" t="str">
        <f t="shared" si="22"/>
        <v/>
      </c>
    </row>
    <row r="450" spans="7:16">
      <c r="G450" s="1540"/>
      <c r="H450"/>
      <c r="I450" s="534"/>
      <c r="J450" s="1541"/>
      <c r="L450" s="1541"/>
      <c r="M450" s="1541"/>
      <c r="N450" s="513"/>
      <c r="O450" s="554"/>
      <c r="P450" s="444" t="str">
        <f t="shared" si="22"/>
        <v/>
      </c>
    </row>
    <row r="451" spans="7:16">
      <c r="G451" s="1540"/>
      <c r="H451"/>
      <c r="I451" s="534"/>
      <c r="J451" s="1541"/>
      <c r="L451" s="1541"/>
      <c r="M451" s="1541"/>
      <c r="N451" s="513"/>
      <c r="O451" s="554"/>
      <c r="P451" s="444" t="str">
        <f t="shared" si="22"/>
        <v/>
      </c>
    </row>
    <row r="452" spans="7:16">
      <c r="G452" s="1540"/>
      <c r="H452"/>
      <c r="I452" s="534"/>
      <c r="J452" s="1541"/>
      <c r="L452" s="1541"/>
      <c r="M452" s="1541"/>
      <c r="N452" s="513"/>
      <c r="O452" s="554"/>
      <c r="P452" s="444" t="str">
        <f t="shared" si="22"/>
        <v/>
      </c>
    </row>
    <row r="453" spans="7:16">
      <c r="G453" s="1540"/>
      <c r="H453"/>
      <c r="I453" s="534"/>
      <c r="J453" s="1541"/>
      <c r="L453" s="1541"/>
      <c r="M453" s="1541"/>
      <c r="N453" s="513"/>
      <c r="O453" s="554"/>
      <c r="P453" s="444" t="str">
        <f t="shared" si="22"/>
        <v/>
      </c>
    </row>
    <row r="454" spans="7:16">
      <c r="G454" s="1540"/>
      <c r="H454"/>
      <c r="I454" s="534"/>
      <c r="J454" s="1541"/>
      <c r="L454" s="1541"/>
      <c r="M454" s="1541"/>
      <c r="N454" s="513"/>
      <c r="O454" s="554"/>
      <c r="P454" s="444" t="str">
        <f t="shared" si="22"/>
        <v/>
      </c>
    </row>
    <row r="455" spans="7:16">
      <c r="G455" s="1540"/>
      <c r="H455"/>
      <c r="I455" s="534"/>
      <c r="J455" s="1541"/>
      <c r="L455" s="1541"/>
      <c r="M455" s="1541"/>
      <c r="N455" s="513"/>
      <c r="O455" s="554"/>
      <c r="P455" s="444" t="str">
        <f t="shared" si="22"/>
        <v/>
      </c>
    </row>
    <row r="456" spans="7:16">
      <c r="G456" s="1540"/>
      <c r="H456"/>
      <c r="I456" s="534"/>
      <c r="J456" s="1541"/>
      <c r="L456" s="1541"/>
      <c r="M456" s="1541"/>
      <c r="N456" s="513"/>
      <c r="O456" s="554"/>
      <c r="P456" s="444" t="str">
        <f t="shared" si="22"/>
        <v/>
      </c>
    </row>
    <row r="457" spans="7:16">
      <c r="G457" s="1540"/>
      <c r="H457"/>
      <c r="I457" s="534"/>
      <c r="J457" s="1541"/>
      <c r="L457" s="1541"/>
      <c r="M457" s="1541"/>
      <c r="N457" s="513"/>
      <c r="O457" s="554"/>
      <c r="P457" s="444" t="str">
        <f t="shared" si="22"/>
        <v/>
      </c>
    </row>
    <row r="458" spans="7:16">
      <c r="G458" s="1540"/>
      <c r="H458"/>
      <c r="I458" s="534"/>
      <c r="J458" s="1541"/>
      <c r="L458" s="1541"/>
      <c r="M458" s="1541"/>
      <c r="N458" s="513"/>
      <c r="O458" s="554"/>
      <c r="P458" s="444" t="str">
        <f t="shared" si="22"/>
        <v/>
      </c>
    </row>
    <row r="459" spans="7:16">
      <c r="G459" s="1540"/>
      <c r="H459"/>
      <c r="I459" s="534"/>
      <c r="J459" s="1541"/>
      <c r="L459" s="1541"/>
      <c r="M459" s="1541"/>
      <c r="N459" s="513"/>
      <c r="O459" s="554"/>
      <c r="P459" s="444" t="str">
        <f t="shared" si="22"/>
        <v/>
      </c>
    </row>
    <row r="460" spans="7:16">
      <c r="G460" s="1540"/>
      <c r="H460"/>
      <c r="I460" s="534"/>
      <c r="J460" s="1541"/>
      <c r="L460" s="1541"/>
      <c r="M460" s="1541"/>
      <c r="N460" s="513"/>
      <c r="O460" s="554"/>
      <c r="P460" s="444" t="str">
        <f t="shared" si="22"/>
        <v/>
      </c>
    </row>
    <row r="461" spans="7:16">
      <c r="G461" s="1540"/>
      <c r="H461"/>
      <c r="I461" s="534"/>
      <c r="J461" s="1541"/>
      <c r="L461" s="1541"/>
      <c r="M461" s="1541"/>
      <c r="N461" s="513"/>
      <c r="O461" s="554"/>
      <c r="P461" s="444" t="str">
        <f t="shared" ref="P461:P524" si="23">IFERROR(INDEX($A$12:$A$36,MATCH($N461,$D$12:$D$36,0)),"")</f>
        <v/>
      </c>
    </row>
    <row r="462" spans="7:16">
      <c r="G462" s="1540"/>
      <c r="H462"/>
      <c r="I462" s="534"/>
      <c r="J462" s="1541"/>
      <c r="L462" s="1541"/>
      <c r="M462" s="1541"/>
      <c r="N462" s="513"/>
      <c r="O462" s="554"/>
      <c r="P462" s="444" t="str">
        <f t="shared" si="23"/>
        <v/>
      </c>
    </row>
    <row r="463" spans="7:16">
      <c r="G463" s="1540"/>
      <c r="H463"/>
      <c r="I463" s="534"/>
      <c r="J463" s="1541"/>
      <c r="L463" s="1541"/>
      <c r="M463" s="1541"/>
      <c r="N463" s="513"/>
      <c r="O463" s="554"/>
      <c r="P463" s="444" t="str">
        <f t="shared" si="23"/>
        <v/>
      </c>
    </row>
    <row r="464" spans="7:16">
      <c r="G464" s="1540"/>
      <c r="H464"/>
      <c r="I464" s="534"/>
      <c r="J464" s="1541"/>
      <c r="L464" s="1541"/>
      <c r="M464" s="1541"/>
      <c r="N464" s="513"/>
      <c r="O464" s="554"/>
      <c r="P464" s="444" t="str">
        <f t="shared" si="23"/>
        <v/>
      </c>
    </row>
    <row r="465" spans="7:16">
      <c r="G465" s="1540"/>
      <c r="H465"/>
      <c r="I465" s="534"/>
      <c r="J465" s="1541"/>
      <c r="L465" s="1541"/>
      <c r="M465" s="1541"/>
      <c r="N465" s="513"/>
      <c r="O465" s="554"/>
      <c r="P465" s="444" t="str">
        <f t="shared" si="23"/>
        <v/>
      </c>
    </row>
    <row r="466" spans="7:16">
      <c r="G466" s="1540"/>
      <c r="H466"/>
      <c r="I466" s="534"/>
      <c r="J466" s="1541"/>
      <c r="L466" s="1541"/>
      <c r="M466" s="1541"/>
      <c r="N466" s="513"/>
      <c r="O466" s="554"/>
      <c r="P466" s="444" t="str">
        <f t="shared" si="23"/>
        <v/>
      </c>
    </row>
    <row r="467" spans="7:16">
      <c r="G467" s="1540"/>
      <c r="H467"/>
      <c r="I467" s="534"/>
      <c r="J467" s="1541"/>
      <c r="L467" s="1541"/>
      <c r="M467" s="1541"/>
      <c r="N467" s="513"/>
      <c r="O467" s="554"/>
      <c r="P467" s="444" t="str">
        <f t="shared" si="23"/>
        <v/>
      </c>
    </row>
    <row r="468" spans="7:16">
      <c r="G468" s="1540"/>
      <c r="H468"/>
      <c r="I468" s="534"/>
      <c r="J468" s="1541"/>
      <c r="L468" s="1541"/>
      <c r="M468" s="1541"/>
      <c r="N468" s="513"/>
      <c r="O468" s="554"/>
      <c r="P468" s="444" t="str">
        <f t="shared" si="23"/>
        <v/>
      </c>
    </row>
    <row r="469" spans="7:16">
      <c r="G469" s="1540"/>
      <c r="H469"/>
      <c r="I469" s="534"/>
      <c r="J469" s="1541"/>
      <c r="L469" s="1541"/>
      <c r="M469" s="1541"/>
      <c r="N469" s="513"/>
      <c r="O469" s="554"/>
      <c r="P469" s="444" t="str">
        <f t="shared" si="23"/>
        <v/>
      </c>
    </row>
    <row r="470" spans="7:16">
      <c r="G470" s="1540"/>
      <c r="H470"/>
      <c r="I470" s="534"/>
      <c r="J470" s="1541"/>
      <c r="L470" s="1541"/>
      <c r="M470" s="1541"/>
      <c r="N470" s="513"/>
      <c r="O470" s="554"/>
      <c r="P470" s="444" t="str">
        <f t="shared" si="23"/>
        <v/>
      </c>
    </row>
    <row r="471" spans="7:16">
      <c r="G471" s="1540"/>
      <c r="H471"/>
      <c r="I471" s="534"/>
      <c r="J471" s="1541"/>
      <c r="L471" s="1541"/>
      <c r="M471" s="1541"/>
      <c r="N471" s="513"/>
      <c r="O471" s="554"/>
      <c r="P471" s="444" t="str">
        <f t="shared" si="23"/>
        <v/>
      </c>
    </row>
    <row r="472" spans="7:16">
      <c r="G472" s="1540"/>
      <c r="H472"/>
      <c r="I472" s="534"/>
      <c r="J472" s="1541"/>
      <c r="L472" s="1541"/>
      <c r="M472" s="1541"/>
      <c r="N472" s="513"/>
      <c r="O472" s="554"/>
      <c r="P472" s="444" t="str">
        <f t="shared" si="23"/>
        <v/>
      </c>
    </row>
    <row r="473" spans="7:16">
      <c r="G473" s="1540"/>
      <c r="H473"/>
      <c r="I473" s="534"/>
      <c r="J473" s="1541"/>
      <c r="L473" s="1541"/>
      <c r="M473" s="1541"/>
      <c r="N473" s="513"/>
      <c r="O473" s="554"/>
      <c r="P473" s="444" t="str">
        <f t="shared" si="23"/>
        <v/>
      </c>
    </row>
    <row r="474" spans="7:16">
      <c r="G474" s="1540"/>
      <c r="H474"/>
      <c r="I474" s="534"/>
      <c r="J474" s="1541"/>
      <c r="L474" s="1541"/>
      <c r="M474" s="1541"/>
      <c r="N474" s="513"/>
      <c r="O474" s="554"/>
      <c r="P474" s="444" t="str">
        <f t="shared" si="23"/>
        <v/>
      </c>
    </row>
    <row r="475" spans="7:16">
      <c r="G475" s="1540"/>
      <c r="H475"/>
      <c r="I475" s="534"/>
      <c r="J475" s="1541"/>
      <c r="L475" s="1541"/>
      <c r="M475" s="1541"/>
      <c r="N475" s="513"/>
      <c r="O475" s="554"/>
      <c r="P475" s="444" t="str">
        <f t="shared" si="23"/>
        <v/>
      </c>
    </row>
    <row r="476" spans="7:16">
      <c r="G476" s="1540"/>
      <c r="H476"/>
      <c r="I476" s="534"/>
      <c r="J476" s="1541"/>
      <c r="L476" s="1541"/>
      <c r="M476" s="1541"/>
      <c r="N476" s="513"/>
      <c r="O476" s="554"/>
      <c r="P476" s="444" t="str">
        <f t="shared" si="23"/>
        <v/>
      </c>
    </row>
    <row r="477" spans="7:16">
      <c r="G477" s="1540"/>
      <c r="H477"/>
      <c r="I477" s="534"/>
      <c r="J477" s="1541"/>
      <c r="L477" s="1541"/>
      <c r="M477" s="1541"/>
      <c r="N477" s="513"/>
      <c r="O477" s="554"/>
      <c r="P477" s="444" t="str">
        <f t="shared" si="23"/>
        <v/>
      </c>
    </row>
    <row r="478" spans="7:16">
      <c r="G478" s="1540"/>
      <c r="H478"/>
      <c r="I478" s="534"/>
      <c r="J478" s="1541"/>
      <c r="L478" s="1541"/>
      <c r="M478" s="1541"/>
      <c r="N478" s="513"/>
      <c r="O478" s="554"/>
      <c r="P478" s="444" t="str">
        <f t="shared" si="23"/>
        <v/>
      </c>
    </row>
    <row r="479" spans="7:16">
      <c r="G479" s="1540"/>
      <c r="H479"/>
      <c r="I479" s="534"/>
      <c r="J479" s="1541"/>
      <c r="L479" s="1541"/>
      <c r="M479" s="1541"/>
      <c r="N479" s="513"/>
      <c r="O479" s="554"/>
      <c r="P479" s="444" t="str">
        <f t="shared" si="23"/>
        <v/>
      </c>
    </row>
    <row r="480" spans="7:16">
      <c r="G480" s="1540"/>
      <c r="H480"/>
      <c r="I480" s="534"/>
      <c r="J480" s="1541"/>
      <c r="L480" s="1541"/>
      <c r="M480" s="1541"/>
      <c r="N480" s="513"/>
      <c r="O480" s="554"/>
      <c r="P480" s="444" t="str">
        <f t="shared" si="23"/>
        <v/>
      </c>
    </row>
    <row r="481" spans="7:16">
      <c r="G481" s="1540"/>
      <c r="H481"/>
      <c r="I481" s="534"/>
      <c r="J481" s="1541"/>
      <c r="L481" s="1541"/>
      <c r="M481" s="1541"/>
      <c r="N481" s="513"/>
      <c r="O481" s="554"/>
      <c r="P481" s="444" t="str">
        <f t="shared" si="23"/>
        <v/>
      </c>
    </row>
    <row r="482" spans="7:16">
      <c r="G482" s="1540"/>
      <c r="H482"/>
      <c r="I482" s="534"/>
      <c r="J482" s="1541"/>
      <c r="L482" s="1541"/>
      <c r="M482" s="1541"/>
      <c r="N482" s="513"/>
      <c r="O482" s="554"/>
      <c r="P482" s="444" t="str">
        <f t="shared" si="23"/>
        <v/>
      </c>
    </row>
    <row r="483" spans="7:16">
      <c r="G483" s="1540"/>
      <c r="H483"/>
      <c r="I483" s="534"/>
      <c r="J483" s="1541"/>
      <c r="L483" s="1541"/>
      <c r="M483" s="1541"/>
      <c r="N483" s="513"/>
      <c r="O483" s="554"/>
      <c r="P483" s="444" t="str">
        <f t="shared" si="23"/>
        <v/>
      </c>
    </row>
    <row r="484" spans="7:16">
      <c r="G484" s="1540"/>
      <c r="H484"/>
      <c r="I484" s="534"/>
      <c r="J484" s="1541"/>
      <c r="L484" s="1541"/>
      <c r="M484" s="1541"/>
      <c r="N484" s="513"/>
      <c r="O484" s="554"/>
      <c r="P484" s="444" t="str">
        <f t="shared" si="23"/>
        <v/>
      </c>
    </row>
    <row r="485" spans="7:16">
      <c r="G485" s="1540"/>
      <c r="H485"/>
      <c r="I485" s="534"/>
      <c r="J485" s="1541"/>
      <c r="L485" s="1541"/>
      <c r="M485" s="1541"/>
      <c r="N485" s="513"/>
      <c r="O485" s="554"/>
      <c r="P485" s="444" t="str">
        <f t="shared" si="23"/>
        <v/>
      </c>
    </row>
    <row r="486" spans="7:16">
      <c r="G486" s="1540"/>
      <c r="H486"/>
      <c r="I486" s="534"/>
      <c r="J486" s="1541"/>
      <c r="L486" s="1541"/>
      <c r="M486" s="1541"/>
      <c r="N486" s="513"/>
      <c r="O486" s="554"/>
      <c r="P486" s="444" t="str">
        <f t="shared" si="23"/>
        <v/>
      </c>
    </row>
    <row r="487" spans="7:16">
      <c r="G487" s="1540"/>
      <c r="H487"/>
      <c r="I487" s="534"/>
      <c r="J487" s="1541"/>
      <c r="L487" s="1541"/>
      <c r="M487" s="1541"/>
      <c r="N487" s="513"/>
      <c r="O487" s="554"/>
      <c r="P487" s="444" t="str">
        <f t="shared" si="23"/>
        <v/>
      </c>
    </row>
    <row r="488" spans="7:16">
      <c r="G488" s="1540"/>
      <c r="H488"/>
      <c r="I488" s="534"/>
      <c r="J488" s="1541"/>
      <c r="L488" s="1541"/>
      <c r="M488" s="1541"/>
      <c r="N488" s="513"/>
      <c r="O488" s="554"/>
      <c r="P488" s="444" t="str">
        <f t="shared" si="23"/>
        <v/>
      </c>
    </row>
    <row r="489" spans="7:16">
      <c r="G489" s="1540"/>
      <c r="H489"/>
      <c r="I489" s="534"/>
      <c r="J489" s="1541"/>
      <c r="L489" s="1541"/>
      <c r="M489" s="1541"/>
      <c r="N489" s="513"/>
      <c r="O489" s="554"/>
      <c r="P489" s="444" t="str">
        <f t="shared" si="23"/>
        <v/>
      </c>
    </row>
    <row r="490" spans="7:16">
      <c r="G490" s="1540"/>
      <c r="H490"/>
      <c r="I490" s="534"/>
      <c r="J490" s="1541"/>
      <c r="L490" s="1541"/>
      <c r="M490" s="1541"/>
      <c r="N490" s="513"/>
      <c r="O490" s="554"/>
      <c r="P490" s="444" t="str">
        <f t="shared" si="23"/>
        <v/>
      </c>
    </row>
    <row r="491" spans="7:16">
      <c r="G491" s="1540"/>
      <c r="H491"/>
      <c r="I491" s="534"/>
      <c r="J491" s="1541"/>
      <c r="L491" s="1541"/>
      <c r="M491" s="1541"/>
      <c r="N491" s="513"/>
      <c r="O491" s="554"/>
      <c r="P491" s="444" t="str">
        <f t="shared" si="23"/>
        <v/>
      </c>
    </row>
    <row r="492" spans="7:16">
      <c r="G492" s="1540"/>
      <c r="H492"/>
      <c r="I492" s="534"/>
      <c r="J492" s="1541"/>
      <c r="L492" s="1541"/>
      <c r="M492" s="1541"/>
      <c r="N492" s="513"/>
      <c r="O492" s="554"/>
      <c r="P492" s="444" t="str">
        <f t="shared" si="23"/>
        <v/>
      </c>
    </row>
    <row r="493" spans="7:16">
      <c r="G493" s="1540"/>
      <c r="H493"/>
      <c r="I493" s="534"/>
      <c r="J493" s="1541"/>
      <c r="L493" s="1541"/>
      <c r="M493" s="1541"/>
      <c r="N493" s="513"/>
      <c r="O493" s="554"/>
      <c r="P493" s="444" t="str">
        <f t="shared" si="23"/>
        <v/>
      </c>
    </row>
    <row r="494" spans="7:16">
      <c r="G494" s="1540"/>
      <c r="H494"/>
      <c r="I494" s="534"/>
      <c r="J494" s="1541"/>
      <c r="L494" s="1541"/>
      <c r="M494" s="1541"/>
      <c r="N494" s="513"/>
      <c r="O494" s="554"/>
      <c r="P494" s="444" t="str">
        <f t="shared" si="23"/>
        <v/>
      </c>
    </row>
    <row r="495" spans="7:16">
      <c r="G495" s="1540"/>
      <c r="H495"/>
      <c r="I495" s="534"/>
      <c r="J495" s="1541"/>
      <c r="L495" s="1541"/>
      <c r="M495" s="1541"/>
      <c r="N495" s="513"/>
      <c r="O495" s="554"/>
      <c r="P495" s="444" t="str">
        <f t="shared" si="23"/>
        <v/>
      </c>
    </row>
    <row r="496" spans="7:16">
      <c r="G496" s="1540"/>
      <c r="H496"/>
      <c r="I496" s="534"/>
      <c r="J496" s="1541"/>
      <c r="L496" s="1541"/>
      <c r="M496" s="1541"/>
      <c r="N496" s="513"/>
      <c r="O496" s="554"/>
      <c r="P496" s="444" t="str">
        <f t="shared" si="23"/>
        <v/>
      </c>
    </row>
    <row r="497" spans="7:16">
      <c r="G497" s="1540"/>
      <c r="H497"/>
      <c r="I497" s="534"/>
      <c r="J497" s="1541"/>
      <c r="L497" s="1541"/>
      <c r="M497" s="1541"/>
      <c r="N497" s="513"/>
      <c r="O497" s="554"/>
      <c r="P497" s="444" t="str">
        <f t="shared" si="23"/>
        <v/>
      </c>
    </row>
    <row r="498" spans="7:16">
      <c r="G498" s="1540"/>
      <c r="H498"/>
      <c r="I498" s="534"/>
      <c r="J498" s="1541"/>
      <c r="L498" s="1541"/>
      <c r="M498" s="1541"/>
      <c r="N498" s="513"/>
      <c r="O498" s="554"/>
      <c r="P498" s="444" t="str">
        <f t="shared" si="23"/>
        <v/>
      </c>
    </row>
    <row r="499" spans="7:16">
      <c r="G499" s="1540"/>
      <c r="H499"/>
      <c r="I499" s="534"/>
      <c r="J499" s="1541"/>
      <c r="L499" s="1541"/>
      <c r="M499" s="1541"/>
      <c r="N499" s="513"/>
      <c r="O499" s="554"/>
      <c r="P499" s="444" t="str">
        <f t="shared" si="23"/>
        <v/>
      </c>
    </row>
    <row r="500" spans="7:16">
      <c r="G500" s="1540"/>
      <c r="H500"/>
      <c r="I500" s="534"/>
      <c r="J500" s="1541"/>
      <c r="L500" s="1541"/>
      <c r="M500" s="1541"/>
      <c r="N500" s="513"/>
      <c r="O500" s="554"/>
      <c r="P500" s="444" t="str">
        <f t="shared" si="23"/>
        <v/>
      </c>
    </row>
    <row r="501" spans="7:16">
      <c r="G501" s="1540"/>
      <c r="H501"/>
      <c r="I501" s="534"/>
      <c r="J501" s="1541"/>
      <c r="L501" s="1541"/>
      <c r="M501" s="1541"/>
      <c r="N501" s="513"/>
      <c r="O501" s="554"/>
      <c r="P501" s="444" t="str">
        <f t="shared" si="23"/>
        <v/>
      </c>
    </row>
    <row r="502" spans="7:16">
      <c r="G502" s="1540"/>
      <c r="H502"/>
      <c r="I502" s="534"/>
      <c r="J502" s="1541"/>
      <c r="L502" s="1541"/>
      <c r="M502" s="1541"/>
      <c r="N502" s="513"/>
      <c r="O502" s="554"/>
      <c r="P502" s="444" t="str">
        <f t="shared" si="23"/>
        <v/>
      </c>
    </row>
    <row r="503" spans="7:16">
      <c r="G503" s="1540"/>
      <c r="H503"/>
      <c r="I503" s="534"/>
      <c r="J503" s="1541"/>
      <c r="L503" s="1541"/>
      <c r="M503" s="1541"/>
      <c r="N503" s="513"/>
      <c r="O503" s="554"/>
      <c r="P503" s="444" t="str">
        <f t="shared" si="23"/>
        <v/>
      </c>
    </row>
    <row r="504" spans="7:16">
      <c r="G504" s="1540"/>
      <c r="H504"/>
      <c r="I504" s="534"/>
      <c r="J504" s="1541"/>
      <c r="L504" s="1541"/>
      <c r="M504" s="1541"/>
      <c r="N504" s="513"/>
      <c r="O504" s="554"/>
      <c r="P504" s="444" t="str">
        <f t="shared" si="23"/>
        <v/>
      </c>
    </row>
    <row r="505" spans="7:16">
      <c r="G505" s="1540"/>
      <c r="H505"/>
      <c r="I505" s="534"/>
      <c r="J505" s="1541"/>
      <c r="L505" s="1541"/>
      <c r="M505" s="1541"/>
      <c r="N505" s="513"/>
      <c r="O505" s="554"/>
      <c r="P505" s="444" t="str">
        <f t="shared" si="23"/>
        <v/>
      </c>
    </row>
    <row r="506" spans="7:16">
      <c r="G506" s="1540"/>
      <c r="H506"/>
      <c r="I506" s="534"/>
      <c r="J506" s="1541"/>
      <c r="L506" s="1541"/>
      <c r="M506" s="1541"/>
      <c r="N506" s="513"/>
      <c r="O506" s="554"/>
      <c r="P506" s="444" t="str">
        <f t="shared" si="23"/>
        <v/>
      </c>
    </row>
    <row r="507" spans="7:16">
      <c r="G507" s="1540"/>
      <c r="H507"/>
      <c r="I507" s="534"/>
      <c r="J507" s="1541"/>
      <c r="L507" s="1541"/>
      <c r="M507" s="1541"/>
      <c r="N507" s="513"/>
      <c r="O507" s="554"/>
      <c r="P507" s="444" t="str">
        <f t="shared" si="23"/>
        <v/>
      </c>
    </row>
    <row r="508" spans="7:16">
      <c r="G508" s="1540"/>
      <c r="H508"/>
      <c r="I508" s="534"/>
      <c r="J508" s="1541"/>
      <c r="L508" s="1541"/>
      <c r="M508" s="1541"/>
      <c r="N508" s="513"/>
      <c r="O508" s="554"/>
      <c r="P508" s="444" t="str">
        <f t="shared" si="23"/>
        <v/>
      </c>
    </row>
    <row r="509" spans="7:16">
      <c r="G509" s="1540"/>
      <c r="H509"/>
      <c r="I509" s="534"/>
      <c r="J509" s="1541"/>
      <c r="L509" s="1541"/>
      <c r="M509" s="1541"/>
      <c r="N509" s="513"/>
      <c r="O509" s="554"/>
      <c r="P509" s="444" t="str">
        <f t="shared" si="23"/>
        <v/>
      </c>
    </row>
    <row r="510" spans="7:16">
      <c r="G510" s="1540"/>
      <c r="H510"/>
      <c r="I510" s="534"/>
      <c r="J510" s="1541"/>
      <c r="L510" s="1541"/>
      <c r="M510" s="1541"/>
      <c r="N510" s="513"/>
      <c r="O510" s="554"/>
      <c r="P510" s="444" t="str">
        <f t="shared" si="23"/>
        <v/>
      </c>
    </row>
    <row r="511" spans="7:16">
      <c r="G511" s="1540"/>
      <c r="H511"/>
      <c r="I511" s="534"/>
      <c r="J511" s="1541"/>
      <c r="L511" s="1541"/>
      <c r="M511" s="1541"/>
      <c r="N511" s="513"/>
      <c r="O511" s="554"/>
      <c r="P511" s="444" t="str">
        <f t="shared" si="23"/>
        <v/>
      </c>
    </row>
    <row r="512" spans="7:16">
      <c r="G512" s="1540"/>
      <c r="H512"/>
      <c r="I512" s="534"/>
      <c r="J512" s="1541"/>
      <c r="L512" s="1541"/>
      <c r="M512" s="1541"/>
      <c r="N512" s="513"/>
      <c r="O512" s="554"/>
      <c r="P512" s="444" t="str">
        <f t="shared" si="23"/>
        <v/>
      </c>
    </row>
    <row r="513" spans="7:16">
      <c r="G513" s="1540"/>
      <c r="H513"/>
      <c r="I513" s="534"/>
      <c r="J513" s="1541"/>
      <c r="L513" s="1541"/>
      <c r="M513" s="1541"/>
      <c r="N513" s="513"/>
      <c r="O513" s="554"/>
      <c r="P513" s="444" t="str">
        <f t="shared" si="23"/>
        <v/>
      </c>
    </row>
    <row r="514" spans="7:16">
      <c r="G514" s="1540"/>
      <c r="H514"/>
      <c r="I514" s="534"/>
      <c r="J514" s="1541"/>
      <c r="L514" s="1541"/>
      <c r="M514" s="1541"/>
      <c r="N514" s="513"/>
      <c r="O514" s="554"/>
      <c r="P514" s="444" t="str">
        <f t="shared" si="23"/>
        <v/>
      </c>
    </row>
    <row r="515" spans="7:16">
      <c r="G515" s="1540"/>
      <c r="H515"/>
      <c r="I515" s="534"/>
      <c r="J515" s="1541"/>
      <c r="L515" s="1541"/>
      <c r="M515" s="1541"/>
      <c r="N515" s="513"/>
      <c r="O515" s="554"/>
      <c r="P515" s="444" t="str">
        <f t="shared" si="23"/>
        <v/>
      </c>
    </row>
    <row r="516" spans="7:16">
      <c r="G516" s="1540"/>
      <c r="H516"/>
      <c r="I516" s="534"/>
      <c r="J516" s="1541"/>
      <c r="L516" s="1541"/>
      <c r="M516" s="1541"/>
      <c r="N516" s="513"/>
      <c r="O516" s="554"/>
      <c r="P516" s="444" t="str">
        <f t="shared" si="23"/>
        <v/>
      </c>
    </row>
    <row r="517" spans="7:16">
      <c r="G517" s="1540"/>
      <c r="H517"/>
      <c r="I517" s="534"/>
      <c r="J517" s="1541"/>
      <c r="L517" s="1541"/>
      <c r="M517" s="1541"/>
      <c r="N517" s="513"/>
      <c r="O517" s="554"/>
      <c r="P517" s="444" t="str">
        <f t="shared" si="23"/>
        <v/>
      </c>
    </row>
    <row r="518" spans="7:16">
      <c r="G518" s="1540"/>
      <c r="H518"/>
      <c r="I518" s="534"/>
      <c r="J518" s="1541"/>
      <c r="L518" s="1541"/>
      <c r="M518" s="1541"/>
      <c r="N518" s="513"/>
      <c r="O518" s="554"/>
      <c r="P518" s="444" t="str">
        <f t="shared" si="23"/>
        <v/>
      </c>
    </row>
    <row r="519" spans="7:16">
      <c r="G519" s="1540"/>
      <c r="H519"/>
      <c r="I519" s="534"/>
      <c r="J519" s="1541"/>
      <c r="L519" s="1541"/>
      <c r="M519" s="1541"/>
      <c r="N519" s="513"/>
      <c r="O519" s="554"/>
      <c r="P519" s="444" t="str">
        <f t="shared" si="23"/>
        <v/>
      </c>
    </row>
    <row r="520" spans="7:16">
      <c r="G520" s="1540"/>
      <c r="H520"/>
      <c r="I520" s="534"/>
      <c r="J520" s="1541"/>
      <c r="L520" s="1541"/>
      <c r="M520" s="1541"/>
      <c r="N520" s="513"/>
      <c r="O520" s="554"/>
      <c r="P520" s="444" t="str">
        <f t="shared" si="23"/>
        <v/>
      </c>
    </row>
    <row r="521" spans="7:16">
      <c r="G521" s="1540"/>
      <c r="H521"/>
      <c r="I521" s="534"/>
      <c r="J521" s="1541"/>
      <c r="L521" s="1541"/>
      <c r="M521" s="1541"/>
      <c r="N521" s="513"/>
      <c r="O521" s="554"/>
      <c r="P521" s="444" t="str">
        <f t="shared" si="23"/>
        <v/>
      </c>
    </row>
    <row r="522" spans="7:16">
      <c r="G522" s="1540"/>
      <c r="H522"/>
      <c r="I522" s="534"/>
      <c r="J522" s="1541"/>
      <c r="L522" s="1541"/>
      <c r="M522" s="1541"/>
      <c r="N522" s="513"/>
      <c r="O522" s="554"/>
      <c r="P522" s="444" t="str">
        <f t="shared" si="23"/>
        <v/>
      </c>
    </row>
    <row r="523" spans="7:16">
      <c r="G523" s="1540"/>
      <c r="H523"/>
      <c r="I523" s="534"/>
      <c r="J523" s="1541"/>
      <c r="L523" s="1541"/>
      <c r="M523" s="1541"/>
      <c r="N523" s="513"/>
      <c r="O523" s="554"/>
      <c r="P523" s="444" t="str">
        <f t="shared" si="23"/>
        <v/>
      </c>
    </row>
    <row r="524" spans="7:16">
      <c r="G524" s="1540"/>
      <c r="H524"/>
      <c r="I524" s="534"/>
      <c r="J524" s="1541"/>
      <c r="L524" s="1541"/>
      <c r="M524" s="1541"/>
      <c r="N524" s="513"/>
      <c r="O524" s="554"/>
      <c r="P524" s="444" t="str">
        <f t="shared" si="23"/>
        <v/>
      </c>
    </row>
    <row r="525" spans="7:16">
      <c r="G525" s="1540"/>
      <c r="H525"/>
      <c r="I525" s="534"/>
      <c r="J525" s="1541"/>
      <c r="L525" s="1541"/>
      <c r="M525" s="1541"/>
      <c r="N525" s="513"/>
      <c r="O525" s="554"/>
      <c r="P525" s="444" t="str">
        <f t="shared" ref="P525:P588" si="24">IFERROR(INDEX($A$12:$A$36,MATCH($N525,$D$12:$D$36,0)),"")</f>
        <v/>
      </c>
    </row>
    <row r="526" spans="7:16">
      <c r="G526" s="1540"/>
      <c r="H526"/>
      <c r="I526" s="534"/>
      <c r="J526" s="1541"/>
      <c r="L526" s="1541"/>
      <c r="M526" s="1541"/>
      <c r="N526" s="513"/>
      <c r="O526" s="554"/>
      <c r="P526" s="444" t="str">
        <f t="shared" si="24"/>
        <v/>
      </c>
    </row>
    <row r="527" spans="7:16">
      <c r="G527" s="1540"/>
      <c r="H527"/>
      <c r="I527" s="534"/>
      <c r="J527" s="1541"/>
      <c r="L527" s="1541"/>
      <c r="M527" s="1541"/>
      <c r="N527" s="513"/>
      <c r="O527" s="554"/>
      <c r="P527" s="444" t="str">
        <f t="shared" si="24"/>
        <v/>
      </c>
    </row>
    <row r="528" spans="7:16">
      <c r="G528" s="1540"/>
      <c r="H528"/>
      <c r="I528" s="534"/>
      <c r="J528" s="1541"/>
      <c r="L528" s="1541"/>
      <c r="M528" s="1541"/>
      <c r="N528" s="513"/>
      <c r="O528" s="554"/>
      <c r="P528" s="444" t="str">
        <f t="shared" si="24"/>
        <v/>
      </c>
    </row>
    <row r="529" spans="7:16">
      <c r="G529" s="1540"/>
      <c r="H529"/>
      <c r="I529" s="534"/>
      <c r="J529" s="1541"/>
      <c r="L529" s="1541"/>
      <c r="M529" s="1541"/>
      <c r="N529" s="513"/>
      <c r="O529" s="554"/>
      <c r="P529" s="444" t="str">
        <f t="shared" si="24"/>
        <v/>
      </c>
    </row>
    <row r="530" spans="7:16">
      <c r="G530" s="1540"/>
      <c r="H530"/>
      <c r="I530" s="534"/>
      <c r="J530" s="1541"/>
      <c r="L530" s="1541"/>
      <c r="M530" s="1541"/>
      <c r="N530" s="513"/>
      <c r="O530" s="554"/>
      <c r="P530" s="444" t="str">
        <f t="shared" si="24"/>
        <v/>
      </c>
    </row>
    <row r="531" spans="7:16">
      <c r="G531" s="1540"/>
      <c r="H531"/>
      <c r="I531" s="534"/>
      <c r="J531" s="1541"/>
      <c r="L531" s="1541"/>
      <c r="M531" s="1541"/>
      <c r="N531" s="513"/>
      <c r="O531" s="554"/>
      <c r="P531" s="444" t="str">
        <f t="shared" si="24"/>
        <v/>
      </c>
    </row>
    <row r="532" spans="7:16">
      <c r="G532" s="1540"/>
      <c r="H532"/>
      <c r="I532" s="534"/>
      <c r="J532" s="1541"/>
      <c r="L532" s="1541"/>
      <c r="M532" s="1541"/>
      <c r="N532" s="513"/>
      <c r="O532" s="554"/>
      <c r="P532" s="444" t="str">
        <f t="shared" si="24"/>
        <v/>
      </c>
    </row>
    <row r="533" spans="7:16">
      <c r="G533" s="1540"/>
      <c r="H533"/>
      <c r="I533" s="534"/>
      <c r="J533" s="1541"/>
      <c r="L533" s="1541"/>
      <c r="M533" s="1541"/>
      <c r="N533" s="513"/>
      <c r="O533" s="554"/>
      <c r="P533" s="444" t="str">
        <f t="shared" si="24"/>
        <v/>
      </c>
    </row>
    <row r="534" spans="7:16">
      <c r="G534" s="1540"/>
      <c r="H534"/>
      <c r="I534" s="534"/>
      <c r="J534" s="1541"/>
      <c r="L534" s="1541"/>
      <c r="M534" s="1541"/>
      <c r="N534" s="513"/>
      <c r="O534" s="554"/>
      <c r="P534" s="444" t="str">
        <f t="shared" si="24"/>
        <v/>
      </c>
    </row>
    <row r="535" spans="7:16">
      <c r="G535" s="1540"/>
      <c r="H535"/>
      <c r="I535" s="534"/>
      <c r="J535" s="1541"/>
      <c r="L535" s="1541"/>
      <c r="M535" s="1541"/>
      <c r="N535" s="513"/>
      <c r="O535" s="554"/>
      <c r="P535" s="444" t="str">
        <f t="shared" si="24"/>
        <v/>
      </c>
    </row>
    <row r="536" spans="7:16">
      <c r="G536" s="1540"/>
      <c r="H536"/>
      <c r="I536" s="534"/>
      <c r="J536" s="1541"/>
      <c r="L536" s="1541"/>
      <c r="M536" s="1541"/>
      <c r="N536" s="513"/>
      <c r="O536" s="554"/>
      <c r="P536" s="444" t="str">
        <f t="shared" si="24"/>
        <v/>
      </c>
    </row>
    <row r="537" spans="7:16">
      <c r="G537" s="1540"/>
      <c r="H537"/>
      <c r="I537" s="534"/>
      <c r="J537" s="1541"/>
      <c r="L537" s="1541"/>
      <c r="M537" s="1541"/>
      <c r="N537" s="513"/>
      <c r="O537" s="554"/>
      <c r="P537" s="444" t="str">
        <f t="shared" si="24"/>
        <v/>
      </c>
    </row>
    <row r="538" spans="7:16">
      <c r="G538" s="1540"/>
      <c r="H538"/>
      <c r="I538" s="534"/>
      <c r="J538" s="1541"/>
      <c r="L538" s="1541"/>
      <c r="M538" s="1541"/>
      <c r="N538" s="513"/>
      <c r="O538" s="554"/>
      <c r="P538" s="444" t="str">
        <f t="shared" si="24"/>
        <v/>
      </c>
    </row>
    <row r="539" spans="7:16">
      <c r="G539" s="1540"/>
      <c r="H539"/>
      <c r="I539" s="534"/>
      <c r="J539" s="1541"/>
      <c r="L539" s="1541"/>
      <c r="M539" s="1541"/>
      <c r="N539" s="513"/>
      <c r="O539" s="554"/>
      <c r="P539" s="444" t="str">
        <f t="shared" si="24"/>
        <v/>
      </c>
    </row>
    <row r="540" spans="7:16">
      <c r="G540" s="1540"/>
      <c r="H540"/>
      <c r="I540" s="534"/>
      <c r="J540" s="1541"/>
      <c r="L540" s="1541"/>
      <c r="M540" s="1541"/>
      <c r="N540" s="513"/>
      <c r="O540" s="554"/>
      <c r="P540" s="444" t="str">
        <f t="shared" si="24"/>
        <v/>
      </c>
    </row>
    <row r="541" spans="7:16">
      <c r="G541" s="1540"/>
      <c r="H541"/>
      <c r="I541" s="534"/>
      <c r="J541" s="1541"/>
      <c r="L541" s="1541"/>
      <c r="M541" s="1541"/>
      <c r="N541" s="513"/>
      <c r="O541" s="554"/>
      <c r="P541" s="444" t="str">
        <f t="shared" si="24"/>
        <v/>
      </c>
    </row>
    <row r="542" spans="7:16">
      <c r="G542" s="1540"/>
      <c r="H542"/>
      <c r="I542" s="534"/>
      <c r="J542" s="1541"/>
      <c r="L542" s="1541"/>
      <c r="M542" s="1541"/>
      <c r="N542" s="513"/>
      <c r="O542" s="554"/>
      <c r="P542" s="444" t="str">
        <f t="shared" si="24"/>
        <v/>
      </c>
    </row>
    <row r="543" spans="7:16">
      <c r="G543" s="1540"/>
      <c r="H543"/>
      <c r="I543" s="534"/>
      <c r="J543" s="1541"/>
      <c r="L543" s="1541"/>
      <c r="M543" s="1541"/>
      <c r="N543" s="513"/>
      <c r="O543" s="554"/>
      <c r="P543" s="444" t="str">
        <f t="shared" si="24"/>
        <v/>
      </c>
    </row>
    <row r="544" spans="7:16">
      <c r="G544" s="1540"/>
      <c r="H544"/>
      <c r="I544" s="534"/>
      <c r="J544" s="1541"/>
      <c r="L544" s="1541"/>
      <c r="M544" s="1541"/>
      <c r="N544" s="513"/>
      <c r="O544" s="554"/>
      <c r="P544" s="444" t="str">
        <f t="shared" si="24"/>
        <v/>
      </c>
    </row>
    <row r="545" spans="7:16">
      <c r="G545" s="1540"/>
      <c r="H545"/>
      <c r="I545" s="534"/>
      <c r="J545" s="1541"/>
      <c r="L545" s="1541"/>
      <c r="M545" s="1541"/>
      <c r="N545" s="513"/>
      <c r="O545" s="554"/>
      <c r="P545" s="444" t="str">
        <f t="shared" si="24"/>
        <v/>
      </c>
    </row>
    <row r="546" spans="7:16">
      <c r="G546" s="1540"/>
      <c r="H546"/>
      <c r="I546" s="534"/>
      <c r="J546" s="1541"/>
      <c r="L546" s="1541"/>
      <c r="M546" s="1541"/>
      <c r="N546" s="513"/>
      <c r="O546" s="554"/>
      <c r="P546" s="444" t="str">
        <f t="shared" si="24"/>
        <v/>
      </c>
    </row>
    <row r="547" spans="7:16">
      <c r="G547" s="1540"/>
      <c r="H547"/>
      <c r="I547" s="534"/>
      <c r="J547" s="1541"/>
      <c r="L547" s="1541"/>
      <c r="M547" s="1541"/>
      <c r="N547" s="513"/>
      <c r="O547" s="554"/>
      <c r="P547" s="444" t="str">
        <f t="shared" si="24"/>
        <v/>
      </c>
    </row>
    <row r="548" spans="7:16">
      <c r="G548" s="1540"/>
      <c r="H548"/>
      <c r="I548" s="534"/>
      <c r="J548" s="1541"/>
      <c r="L548" s="1541"/>
      <c r="M548" s="1541"/>
      <c r="N548" s="513"/>
      <c r="O548" s="554"/>
      <c r="P548" s="444" t="str">
        <f t="shared" si="24"/>
        <v/>
      </c>
    </row>
    <row r="549" spans="7:16">
      <c r="G549" s="1540"/>
      <c r="H549"/>
      <c r="I549" s="534"/>
      <c r="J549" s="1541"/>
      <c r="L549" s="1541"/>
      <c r="M549" s="1541"/>
      <c r="N549" s="513"/>
      <c r="O549" s="554"/>
      <c r="P549" s="444" t="str">
        <f t="shared" si="24"/>
        <v/>
      </c>
    </row>
    <row r="550" spans="7:16">
      <c r="G550" s="1540"/>
      <c r="H550"/>
      <c r="I550" s="534"/>
      <c r="J550" s="1541"/>
      <c r="L550" s="1541"/>
      <c r="M550" s="1541"/>
      <c r="N550" s="513"/>
      <c r="O550" s="554"/>
      <c r="P550" s="444" t="str">
        <f t="shared" si="24"/>
        <v/>
      </c>
    </row>
    <row r="551" spans="7:16">
      <c r="G551" s="1540"/>
      <c r="H551"/>
      <c r="I551" s="534"/>
      <c r="J551" s="1541"/>
      <c r="L551" s="1541"/>
      <c r="M551" s="1541"/>
      <c r="N551" s="513"/>
      <c r="O551" s="554"/>
      <c r="P551" s="444" t="str">
        <f t="shared" si="24"/>
        <v/>
      </c>
    </row>
    <row r="552" spans="7:16">
      <c r="G552" s="1540"/>
      <c r="H552"/>
      <c r="I552" s="534"/>
      <c r="J552" s="1541"/>
      <c r="L552" s="1541"/>
      <c r="M552" s="1541"/>
      <c r="N552" s="513"/>
      <c r="O552" s="554"/>
      <c r="P552" s="444" t="str">
        <f t="shared" si="24"/>
        <v/>
      </c>
    </row>
    <row r="553" spans="7:16">
      <c r="G553" s="1540"/>
      <c r="H553"/>
      <c r="I553" s="534"/>
      <c r="J553" s="1541"/>
      <c r="L553" s="1541"/>
      <c r="M553" s="1541"/>
      <c r="N553" s="513"/>
      <c r="O553" s="554"/>
      <c r="P553" s="444" t="str">
        <f t="shared" si="24"/>
        <v/>
      </c>
    </row>
    <row r="554" spans="7:16">
      <c r="G554" s="1540"/>
      <c r="H554"/>
      <c r="I554" s="534"/>
      <c r="J554" s="1541"/>
      <c r="L554" s="1541"/>
      <c r="M554" s="1541"/>
      <c r="N554" s="513"/>
      <c r="O554" s="554"/>
      <c r="P554" s="444" t="str">
        <f t="shared" si="24"/>
        <v/>
      </c>
    </row>
    <row r="555" spans="7:16">
      <c r="G555" s="1540"/>
      <c r="H555"/>
      <c r="I555" s="534"/>
      <c r="J555" s="1541"/>
      <c r="L555" s="1541"/>
      <c r="M555" s="1541"/>
      <c r="N555" s="513"/>
      <c r="O555" s="554"/>
      <c r="P555" s="444" t="str">
        <f t="shared" si="24"/>
        <v/>
      </c>
    </row>
    <row r="556" spans="7:16">
      <c r="G556" s="1540"/>
      <c r="H556"/>
      <c r="I556" s="534"/>
      <c r="J556" s="1541"/>
      <c r="L556" s="1541"/>
      <c r="M556" s="1541"/>
      <c r="N556" s="513"/>
      <c r="O556" s="554"/>
      <c r="P556" s="444" t="str">
        <f t="shared" si="24"/>
        <v/>
      </c>
    </row>
    <row r="557" spans="7:16">
      <c r="G557" s="1540"/>
      <c r="H557"/>
      <c r="I557" s="534"/>
      <c r="J557" s="1541"/>
      <c r="L557" s="1541"/>
      <c r="M557" s="1541"/>
      <c r="N557" s="513"/>
      <c r="O557" s="554"/>
      <c r="P557" s="444" t="str">
        <f t="shared" si="24"/>
        <v/>
      </c>
    </row>
    <row r="558" spans="7:16">
      <c r="G558" s="1540"/>
      <c r="H558"/>
      <c r="I558" s="534"/>
      <c r="J558" s="1541"/>
      <c r="L558" s="1541"/>
      <c r="M558" s="1541"/>
      <c r="N558" s="513"/>
      <c r="O558" s="554"/>
      <c r="P558" s="444" t="str">
        <f t="shared" si="24"/>
        <v/>
      </c>
    </row>
    <row r="559" spans="7:16">
      <c r="G559" s="1540"/>
      <c r="H559"/>
      <c r="I559" s="534"/>
      <c r="J559" s="1541"/>
      <c r="L559" s="1541"/>
      <c r="M559" s="1541"/>
      <c r="N559" s="513"/>
      <c r="O559" s="554"/>
      <c r="P559" s="444" t="str">
        <f t="shared" si="24"/>
        <v/>
      </c>
    </row>
    <row r="560" spans="7:16">
      <c r="G560" s="1540"/>
      <c r="H560"/>
      <c r="I560" s="534"/>
      <c r="J560" s="1541"/>
      <c r="L560" s="1541"/>
      <c r="M560" s="1541"/>
      <c r="N560" s="513"/>
      <c r="O560" s="554"/>
      <c r="P560" s="444" t="str">
        <f t="shared" si="24"/>
        <v/>
      </c>
    </row>
    <row r="561" spans="7:16">
      <c r="G561" s="1540"/>
      <c r="H561"/>
      <c r="I561" s="534"/>
      <c r="J561" s="1541"/>
      <c r="L561" s="1541"/>
      <c r="M561" s="1541"/>
      <c r="N561" s="513"/>
      <c r="O561" s="554"/>
      <c r="P561" s="444" t="str">
        <f t="shared" si="24"/>
        <v/>
      </c>
    </row>
    <row r="562" spans="7:16">
      <c r="G562" s="1540"/>
      <c r="H562"/>
      <c r="I562" s="534"/>
      <c r="J562" s="1541"/>
      <c r="L562" s="1541"/>
      <c r="M562" s="1541"/>
      <c r="N562" s="513"/>
      <c r="O562" s="554"/>
      <c r="P562" s="444" t="str">
        <f t="shared" si="24"/>
        <v/>
      </c>
    </row>
    <row r="563" spans="7:16">
      <c r="G563" s="1540"/>
      <c r="H563"/>
      <c r="I563" s="534"/>
      <c r="J563" s="1541"/>
      <c r="L563" s="1541"/>
      <c r="M563" s="1541"/>
      <c r="N563" s="513"/>
      <c r="O563" s="554"/>
      <c r="P563" s="444" t="str">
        <f t="shared" si="24"/>
        <v/>
      </c>
    </row>
    <row r="564" spans="7:16">
      <c r="G564" s="1540"/>
      <c r="H564"/>
      <c r="I564" s="534"/>
      <c r="J564" s="1541"/>
      <c r="L564" s="1541"/>
      <c r="M564" s="1541"/>
      <c r="N564" s="513"/>
      <c r="O564" s="554"/>
      <c r="P564" s="444" t="str">
        <f t="shared" si="24"/>
        <v/>
      </c>
    </row>
    <row r="565" spans="7:16">
      <c r="G565" s="1540"/>
      <c r="H565"/>
      <c r="I565" s="534"/>
      <c r="J565" s="1541"/>
      <c r="L565" s="1541"/>
      <c r="M565" s="1541"/>
      <c r="N565" s="513"/>
      <c r="O565" s="554"/>
      <c r="P565" s="444" t="str">
        <f t="shared" si="24"/>
        <v/>
      </c>
    </row>
    <row r="566" spans="7:16">
      <c r="G566" s="1540"/>
      <c r="H566"/>
      <c r="I566" s="534"/>
      <c r="J566" s="1541"/>
      <c r="L566" s="1541"/>
      <c r="M566" s="1541"/>
      <c r="N566" s="513"/>
      <c r="O566" s="554"/>
      <c r="P566" s="444" t="str">
        <f t="shared" si="24"/>
        <v/>
      </c>
    </row>
    <row r="567" spans="7:16">
      <c r="G567" s="1540"/>
      <c r="H567"/>
      <c r="I567" s="534"/>
      <c r="J567" s="1541"/>
      <c r="L567" s="1541"/>
      <c r="M567" s="1541"/>
      <c r="N567" s="513"/>
      <c r="O567" s="554"/>
      <c r="P567" s="444" t="str">
        <f t="shared" si="24"/>
        <v/>
      </c>
    </row>
    <row r="568" spans="7:16">
      <c r="G568" s="1540"/>
      <c r="H568"/>
      <c r="I568" s="534"/>
      <c r="J568" s="1541"/>
      <c r="L568" s="1541"/>
      <c r="M568" s="1541"/>
      <c r="N568" s="513"/>
      <c r="O568" s="554"/>
      <c r="P568" s="444" t="str">
        <f t="shared" si="24"/>
        <v/>
      </c>
    </row>
    <row r="569" spans="7:16">
      <c r="G569" s="1540"/>
      <c r="H569"/>
      <c r="I569" s="534"/>
      <c r="J569" s="1541"/>
      <c r="L569" s="1541"/>
      <c r="M569" s="1541"/>
      <c r="N569" s="513"/>
      <c r="O569" s="554"/>
      <c r="P569" s="444" t="str">
        <f t="shared" si="24"/>
        <v/>
      </c>
    </row>
    <row r="570" spans="7:16">
      <c r="G570" s="1540"/>
      <c r="H570"/>
      <c r="I570" s="534"/>
      <c r="J570" s="1541"/>
      <c r="L570" s="1541"/>
      <c r="M570" s="1541"/>
      <c r="N570" s="513"/>
      <c r="O570" s="554"/>
      <c r="P570" s="444" t="str">
        <f t="shared" si="24"/>
        <v/>
      </c>
    </row>
    <row r="571" spans="7:16">
      <c r="G571" s="1540"/>
      <c r="H571"/>
      <c r="I571" s="534"/>
      <c r="J571" s="1541"/>
      <c r="L571" s="1541"/>
      <c r="M571" s="1541"/>
      <c r="N571" s="513"/>
      <c r="O571" s="554"/>
      <c r="P571" s="444" t="str">
        <f t="shared" si="24"/>
        <v/>
      </c>
    </row>
    <row r="572" spans="7:16">
      <c r="G572" s="1540"/>
      <c r="H572"/>
      <c r="I572" s="534"/>
      <c r="J572" s="1541"/>
      <c r="L572" s="1541"/>
      <c r="M572" s="1541"/>
      <c r="N572" s="513"/>
      <c r="O572" s="554"/>
      <c r="P572" s="444" t="str">
        <f t="shared" si="24"/>
        <v/>
      </c>
    </row>
    <row r="573" spans="7:16">
      <c r="G573" s="1540"/>
      <c r="H573"/>
      <c r="I573" s="534"/>
      <c r="J573" s="1541"/>
      <c r="L573" s="1541"/>
      <c r="M573" s="1541"/>
      <c r="N573" s="513"/>
      <c r="O573" s="554"/>
      <c r="P573" s="444" t="str">
        <f t="shared" si="24"/>
        <v/>
      </c>
    </row>
    <row r="574" spans="7:16">
      <c r="G574" s="1540"/>
      <c r="H574"/>
      <c r="I574" s="534"/>
      <c r="J574" s="1541"/>
      <c r="L574" s="1541"/>
      <c r="M574" s="1541"/>
      <c r="N574" s="513"/>
      <c r="O574" s="554"/>
      <c r="P574" s="444" t="str">
        <f t="shared" si="24"/>
        <v/>
      </c>
    </row>
    <row r="575" spans="7:16">
      <c r="G575" s="1540"/>
      <c r="H575"/>
      <c r="I575" s="534"/>
      <c r="J575" s="1541"/>
      <c r="L575" s="1541"/>
      <c r="M575" s="1541"/>
      <c r="N575" s="513"/>
      <c r="O575" s="554"/>
      <c r="P575" s="444" t="str">
        <f t="shared" si="24"/>
        <v/>
      </c>
    </row>
    <row r="576" spans="7:16">
      <c r="G576" s="1540"/>
      <c r="H576"/>
      <c r="I576" s="534"/>
      <c r="J576" s="1541"/>
      <c r="L576" s="1541"/>
      <c r="M576" s="1541"/>
      <c r="N576" s="513"/>
      <c r="O576" s="554"/>
      <c r="P576" s="444" t="str">
        <f t="shared" si="24"/>
        <v/>
      </c>
    </row>
    <row r="577" spans="7:16">
      <c r="G577" s="1540"/>
      <c r="H577"/>
      <c r="I577" s="534"/>
      <c r="J577" s="1541"/>
      <c r="L577" s="1541"/>
      <c r="M577" s="1541"/>
      <c r="N577" s="513"/>
      <c r="O577" s="554"/>
      <c r="P577" s="444" t="str">
        <f t="shared" si="24"/>
        <v/>
      </c>
    </row>
    <row r="578" spans="7:16">
      <c r="G578" s="1540"/>
      <c r="H578"/>
      <c r="I578" s="534"/>
      <c r="J578" s="1541"/>
      <c r="L578" s="1541"/>
      <c r="M578" s="1541"/>
      <c r="N578" s="513"/>
      <c r="O578" s="554"/>
      <c r="P578" s="444" t="str">
        <f t="shared" si="24"/>
        <v/>
      </c>
    </row>
    <row r="579" spans="7:16">
      <c r="G579" s="1540"/>
      <c r="H579"/>
      <c r="I579" s="534"/>
      <c r="J579" s="1541"/>
      <c r="L579" s="1541"/>
      <c r="M579" s="1541"/>
      <c r="N579" s="513"/>
      <c r="O579" s="554"/>
      <c r="P579" s="444" t="str">
        <f t="shared" si="24"/>
        <v/>
      </c>
    </row>
    <row r="580" spans="7:16">
      <c r="G580" s="1540"/>
      <c r="H580"/>
      <c r="I580" s="534"/>
      <c r="J580" s="1541"/>
      <c r="L580" s="1541"/>
      <c r="M580" s="1541"/>
      <c r="N580" s="513"/>
      <c r="O580" s="554"/>
      <c r="P580" s="444" t="str">
        <f t="shared" si="24"/>
        <v/>
      </c>
    </row>
    <row r="581" spans="7:16">
      <c r="G581" s="1540"/>
      <c r="H581"/>
      <c r="I581" s="534"/>
      <c r="J581" s="1541"/>
      <c r="L581" s="1541"/>
      <c r="M581" s="1541"/>
      <c r="N581" s="513"/>
      <c r="O581" s="554"/>
      <c r="P581" s="444" t="str">
        <f t="shared" si="24"/>
        <v/>
      </c>
    </row>
    <row r="582" spans="7:16">
      <c r="G582" s="1540"/>
      <c r="H582"/>
      <c r="I582" s="534"/>
      <c r="J582" s="1541"/>
      <c r="L582" s="1541"/>
      <c r="M582" s="1541"/>
      <c r="N582" s="513"/>
      <c r="O582" s="554"/>
      <c r="P582" s="444" t="str">
        <f t="shared" si="24"/>
        <v/>
      </c>
    </row>
    <row r="583" spans="7:16">
      <c r="G583" s="1540"/>
      <c r="H583"/>
      <c r="I583" s="534"/>
      <c r="J583" s="1541"/>
      <c r="L583" s="1541"/>
      <c r="M583" s="1541"/>
      <c r="N583" s="513"/>
      <c r="O583" s="554"/>
      <c r="P583" s="444" t="str">
        <f t="shared" si="24"/>
        <v/>
      </c>
    </row>
    <row r="584" spans="7:16">
      <c r="G584" s="1540"/>
      <c r="H584"/>
      <c r="I584" s="534"/>
      <c r="J584" s="1541"/>
      <c r="L584" s="1541"/>
      <c r="M584" s="1541"/>
      <c r="N584" s="513"/>
      <c r="O584" s="554"/>
      <c r="P584" s="444" t="str">
        <f t="shared" si="24"/>
        <v/>
      </c>
    </row>
    <row r="585" spans="7:16">
      <c r="G585" s="1540"/>
      <c r="H585"/>
      <c r="I585" s="534"/>
      <c r="J585" s="1541"/>
      <c r="L585" s="1541"/>
      <c r="M585" s="1541"/>
      <c r="N585" s="513"/>
      <c r="O585" s="554"/>
      <c r="P585" s="444" t="str">
        <f t="shared" si="24"/>
        <v/>
      </c>
    </row>
    <row r="586" spans="7:16">
      <c r="G586" s="1540"/>
      <c r="H586"/>
      <c r="I586" s="534"/>
      <c r="J586" s="1541"/>
      <c r="L586" s="1541"/>
      <c r="M586" s="1541"/>
      <c r="N586" s="513"/>
      <c r="O586" s="554"/>
      <c r="P586" s="444" t="str">
        <f t="shared" si="24"/>
        <v/>
      </c>
    </row>
    <row r="587" spans="7:16">
      <c r="G587" s="1540"/>
      <c r="H587"/>
      <c r="I587" s="534"/>
      <c r="J587" s="1541"/>
      <c r="L587" s="1541"/>
      <c r="M587" s="1541"/>
      <c r="N587" s="513"/>
      <c r="O587" s="554"/>
      <c r="P587" s="444" t="str">
        <f t="shared" si="24"/>
        <v/>
      </c>
    </row>
    <row r="588" spans="7:16">
      <c r="G588" s="1540"/>
      <c r="H588"/>
      <c r="I588" s="534"/>
      <c r="J588" s="1541"/>
      <c r="L588" s="1541"/>
      <c r="M588" s="1541"/>
      <c r="N588" s="513"/>
      <c r="O588" s="554"/>
      <c r="P588" s="444" t="str">
        <f t="shared" si="24"/>
        <v/>
      </c>
    </row>
    <row r="589" spans="7:16">
      <c r="G589" s="1540"/>
      <c r="H589"/>
      <c r="I589" s="534"/>
      <c r="J589" s="1541"/>
      <c r="L589" s="1541"/>
      <c r="M589" s="1541"/>
      <c r="N589" s="513"/>
      <c r="O589" s="554"/>
      <c r="P589" s="444" t="str">
        <f t="shared" ref="P589:P652" si="25">IFERROR(INDEX($A$12:$A$36,MATCH($N589,$D$12:$D$36,0)),"")</f>
        <v/>
      </c>
    </row>
    <row r="590" spans="7:16">
      <c r="G590" s="1540"/>
      <c r="H590"/>
      <c r="I590" s="534"/>
      <c r="J590" s="1541"/>
      <c r="L590" s="1541"/>
      <c r="M590" s="1541"/>
      <c r="N590" s="513"/>
      <c r="O590" s="554"/>
      <c r="P590" s="444" t="str">
        <f t="shared" si="25"/>
        <v/>
      </c>
    </row>
    <row r="591" spans="7:16">
      <c r="G591" s="1540"/>
      <c r="H591"/>
      <c r="I591" s="534"/>
      <c r="J591" s="1541"/>
      <c r="L591" s="1541"/>
      <c r="M591" s="1541"/>
      <c r="N591" s="513"/>
      <c r="O591" s="554"/>
      <c r="P591" s="444" t="str">
        <f t="shared" si="25"/>
        <v/>
      </c>
    </row>
    <row r="592" spans="7:16">
      <c r="G592" s="1540"/>
      <c r="H592"/>
      <c r="I592" s="534"/>
      <c r="J592" s="1541"/>
      <c r="L592" s="1541"/>
      <c r="M592" s="1541"/>
      <c r="N592" s="513"/>
      <c r="O592" s="554"/>
      <c r="P592" s="444" t="str">
        <f t="shared" si="25"/>
        <v/>
      </c>
    </row>
    <row r="593" spans="7:16">
      <c r="G593" s="1540"/>
      <c r="H593"/>
      <c r="I593" s="534"/>
      <c r="J593" s="1541"/>
      <c r="L593" s="1541"/>
      <c r="M593" s="1541"/>
      <c r="N593" s="513"/>
      <c r="O593" s="554"/>
      <c r="P593" s="444" t="str">
        <f t="shared" si="25"/>
        <v/>
      </c>
    </row>
    <row r="594" spans="7:16">
      <c r="G594" s="1540"/>
      <c r="H594"/>
      <c r="I594" s="534"/>
      <c r="J594" s="1541"/>
      <c r="L594" s="1541"/>
      <c r="M594" s="1541"/>
      <c r="N594" s="513"/>
      <c r="O594" s="554"/>
      <c r="P594" s="444" t="str">
        <f t="shared" si="25"/>
        <v/>
      </c>
    </row>
    <row r="595" spans="7:16">
      <c r="G595" s="1540"/>
      <c r="H595"/>
      <c r="I595" s="534"/>
      <c r="J595" s="1541"/>
      <c r="L595" s="1541"/>
      <c r="M595" s="1541"/>
      <c r="N595" s="513"/>
      <c r="O595" s="554"/>
      <c r="P595" s="444" t="str">
        <f t="shared" si="25"/>
        <v/>
      </c>
    </row>
    <row r="596" spans="7:16">
      <c r="G596" s="1540"/>
      <c r="H596"/>
      <c r="I596" s="534"/>
      <c r="J596" s="1541"/>
      <c r="L596" s="1541"/>
      <c r="M596" s="1541"/>
      <c r="N596" s="513"/>
      <c r="O596" s="554"/>
      <c r="P596" s="444" t="str">
        <f t="shared" si="25"/>
        <v/>
      </c>
    </row>
    <row r="597" spans="7:16">
      <c r="G597" s="1540"/>
      <c r="H597"/>
      <c r="I597" s="534"/>
      <c r="J597" s="1541"/>
      <c r="L597" s="1541"/>
      <c r="M597" s="1541"/>
      <c r="N597" s="513"/>
      <c r="O597" s="554"/>
      <c r="P597" s="444" t="str">
        <f t="shared" si="25"/>
        <v/>
      </c>
    </row>
    <row r="598" spans="7:16">
      <c r="G598" s="1540"/>
      <c r="H598"/>
      <c r="I598" s="534"/>
      <c r="J598" s="1541"/>
      <c r="L598" s="1541"/>
      <c r="M598" s="1541"/>
      <c r="N598" s="513"/>
      <c r="O598" s="554"/>
      <c r="P598" s="444" t="str">
        <f t="shared" si="25"/>
        <v/>
      </c>
    </row>
    <row r="599" spans="7:16">
      <c r="G599" s="1540"/>
      <c r="H599"/>
      <c r="I599" s="534"/>
      <c r="J599" s="1541"/>
      <c r="L599" s="1541"/>
      <c r="M599" s="1541"/>
      <c r="N599" s="513"/>
      <c r="O599" s="554"/>
      <c r="P599" s="444" t="str">
        <f t="shared" si="25"/>
        <v/>
      </c>
    </row>
    <row r="600" spans="7:16">
      <c r="G600" s="1540"/>
      <c r="H600"/>
      <c r="I600" s="534"/>
      <c r="J600" s="1541"/>
      <c r="L600" s="1541"/>
      <c r="M600" s="1541"/>
      <c r="N600" s="513"/>
      <c r="O600" s="554"/>
      <c r="P600" s="444" t="str">
        <f t="shared" si="25"/>
        <v/>
      </c>
    </row>
    <row r="601" spans="7:16">
      <c r="G601" s="1540"/>
      <c r="H601"/>
      <c r="I601" s="534"/>
      <c r="J601" s="1541"/>
      <c r="L601" s="1541"/>
      <c r="M601" s="1541"/>
      <c r="N601" s="513"/>
      <c r="O601" s="554"/>
      <c r="P601" s="444" t="str">
        <f t="shared" si="25"/>
        <v/>
      </c>
    </row>
    <row r="602" spans="7:16">
      <c r="G602" s="1540"/>
      <c r="H602"/>
      <c r="I602" s="534"/>
      <c r="J602" s="1541"/>
      <c r="L602" s="1541"/>
      <c r="M602" s="1541"/>
      <c r="N602" s="513"/>
      <c r="O602" s="554"/>
      <c r="P602" s="444" t="str">
        <f t="shared" si="25"/>
        <v/>
      </c>
    </row>
    <row r="603" spans="7:16">
      <c r="G603" s="1540"/>
      <c r="H603"/>
      <c r="I603" s="534"/>
      <c r="J603" s="1541"/>
      <c r="L603" s="1541"/>
      <c r="M603" s="1541"/>
      <c r="N603" s="513"/>
      <c r="O603" s="554"/>
      <c r="P603" s="444" t="str">
        <f t="shared" si="25"/>
        <v/>
      </c>
    </row>
    <row r="604" spans="7:16">
      <c r="G604" s="1540"/>
      <c r="H604"/>
      <c r="I604" s="534"/>
      <c r="J604" s="1541"/>
      <c r="L604" s="1541"/>
      <c r="M604" s="1541"/>
      <c r="N604" s="513"/>
      <c r="O604" s="554"/>
      <c r="P604" s="444" t="str">
        <f t="shared" si="25"/>
        <v/>
      </c>
    </row>
    <row r="605" spans="7:16">
      <c r="G605" s="1540"/>
      <c r="H605"/>
      <c r="I605" s="534"/>
      <c r="J605" s="1541"/>
      <c r="L605" s="1541"/>
      <c r="M605" s="1541"/>
      <c r="N605" s="513"/>
      <c r="O605" s="554"/>
      <c r="P605" s="444" t="str">
        <f t="shared" si="25"/>
        <v/>
      </c>
    </row>
    <row r="606" spans="7:16">
      <c r="G606" s="1540"/>
      <c r="H606"/>
      <c r="I606" s="534"/>
      <c r="J606" s="1541"/>
      <c r="L606" s="1541"/>
      <c r="M606" s="1541"/>
      <c r="N606" s="513"/>
      <c r="O606" s="554"/>
      <c r="P606" s="444" t="str">
        <f t="shared" si="25"/>
        <v/>
      </c>
    </row>
    <row r="607" spans="7:16">
      <c r="G607" s="1540"/>
      <c r="H607"/>
      <c r="I607" s="534"/>
      <c r="J607" s="1541"/>
      <c r="L607" s="1541"/>
      <c r="M607" s="1541"/>
      <c r="N607" s="513"/>
      <c r="O607" s="554"/>
      <c r="P607" s="444" t="str">
        <f t="shared" si="25"/>
        <v/>
      </c>
    </row>
    <row r="608" spans="7:16">
      <c r="G608" s="1540"/>
      <c r="H608"/>
      <c r="I608" s="534"/>
      <c r="J608" s="1541"/>
      <c r="L608" s="1541"/>
      <c r="M608" s="1541"/>
      <c r="N608" s="513"/>
      <c r="O608" s="554"/>
      <c r="P608" s="444" t="str">
        <f t="shared" si="25"/>
        <v/>
      </c>
    </row>
    <row r="609" spans="7:16">
      <c r="G609" s="1540"/>
      <c r="H609"/>
      <c r="I609" s="534"/>
      <c r="J609" s="1541"/>
      <c r="L609" s="1541"/>
      <c r="M609" s="1541"/>
      <c r="N609" s="513"/>
      <c r="O609" s="554"/>
      <c r="P609" s="444" t="str">
        <f t="shared" si="25"/>
        <v/>
      </c>
    </row>
    <row r="610" spans="7:16">
      <c r="G610" s="1540"/>
      <c r="H610"/>
      <c r="I610" s="534"/>
      <c r="J610" s="1541"/>
      <c r="L610" s="1541"/>
      <c r="M610" s="1541"/>
      <c r="N610" s="513"/>
      <c r="O610" s="554"/>
      <c r="P610" s="444" t="str">
        <f t="shared" si="25"/>
        <v/>
      </c>
    </row>
    <row r="611" spans="7:16">
      <c r="G611" s="1540"/>
      <c r="H611"/>
      <c r="I611" s="534"/>
      <c r="J611" s="1541"/>
      <c r="L611" s="1541"/>
      <c r="M611" s="1541"/>
      <c r="N611" s="513"/>
      <c r="O611" s="554"/>
      <c r="P611" s="444" t="str">
        <f t="shared" si="25"/>
        <v/>
      </c>
    </row>
    <row r="612" spans="7:16">
      <c r="G612" s="1540"/>
      <c r="H612"/>
      <c r="I612" s="534"/>
      <c r="J612" s="1541"/>
      <c r="L612" s="1541"/>
      <c r="M612" s="1541"/>
      <c r="N612" s="513"/>
      <c r="O612" s="554"/>
      <c r="P612" s="444" t="str">
        <f t="shared" si="25"/>
        <v/>
      </c>
    </row>
    <row r="613" spans="7:16">
      <c r="G613" s="1540"/>
      <c r="H613"/>
      <c r="I613" s="534"/>
      <c r="J613" s="1541"/>
      <c r="L613" s="1541"/>
      <c r="M613" s="1541"/>
      <c r="N613" s="513"/>
      <c r="O613" s="554"/>
      <c r="P613" s="444" t="str">
        <f t="shared" si="25"/>
        <v/>
      </c>
    </row>
    <row r="614" spans="7:16">
      <c r="G614" s="1540"/>
      <c r="H614"/>
      <c r="I614" s="534"/>
      <c r="J614" s="1541"/>
      <c r="L614" s="1541"/>
      <c r="M614" s="1541"/>
      <c r="N614" s="513"/>
      <c r="O614" s="554"/>
      <c r="P614" s="444" t="str">
        <f t="shared" si="25"/>
        <v/>
      </c>
    </row>
    <row r="615" spans="7:16">
      <c r="G615" s="1540"/>
      <c r="H615"/>
      <c r="I615" s="534"/>
      <c r="J615" s="1541"/>
      <c r="L615" s="1541"/>
      <c r="M615" s="1541"/>
      <c r="N615" s="513"/>
      <c r="O615" s="554"/>
      <c r="P615" s="444" t="str">
        <f t="shared" si="25"/>
        <v/>
      </c>
    </row>
    <row r="616" spans="7:16">
      <c r="G616" s="1540"/>
      <c r="H616"/>
      <c r="I616" s="534"/>
      <c r="J616" s="1541"/>
      <c r="L616" s="1541"/>
      <c r="M616" s="1541"/>
      <c r="N616" s="513"/>
      <c r="O616" s="554"/>
      <c r="P616" s="444" t="str">
        <f t="shared" si="25"/>
        <v/>
      </c>
    </row>
    <row r="617" spans="7:16">
      <c r="G617" s="1540"/>
      <c r="H617"/>
      <c r="I617" s="534"/>
      <c r="J617" s="1541"/>
      <c r="L617" s="1541"/>
      <c r="M617" s="1541"/>
      <c r="N617" s="513"/>
      <c r="O617" s="554"/>
      <c r="P617" s="444" t="str">
        <f t="shared" si="25"/>
        <v/>
      </c>
    </row>
    <row r="618" spans="7:16">
      <c r="G618" s="1540"/>
      <c r="H618"/>
      <c r="I618" s="534"/>
      <c r="J618" s="1541"/>
      <c r="L618" s="1541"/>
      <c r="M618" s="1541"/>
      <c r="N618" s="513"/>
      <c r="O618" s="554"/>
      <c r="P618" s="444" t="str">
        <f t="shared" si="25"/>
        <v/>
      </c>
    </row>
    <row r="619" spans="7:16">
      <c r="G619" s="1540"/>
      <c r="H619"/>
      <c r="I619" s="534"/>
      <c r="J619" s="1541"/>
      <c r="L619" s="1541"/>
      <c r="M619" s="1541"/>
      <c r="N619" s="513"/>
      <c r="O619" s="554"/>
      <c r="P619" s="444" t="str">
        <f t="shared" si="25"/>
        <v/>
      </c>
    </row>
    <row r="620" spans="7:16">
      <c r="G620" s="1540"/>
      <c r="H620"/>
      <c r="I620" s="534"/>
      <c r="J620" s="1541"/>
      <c r="L620" s="1541"/>
      <c r="M620" s="1541"/>
      <c r="N620" s="513"/>
      <c r="O620" s="554"/>
      <c r="P620" s="444" t="str">
        <f t="shared" si="25"/>
        <v/>
      </c>
    </row>
    <row r="621" spans="7:16">
      <c r="G621" s="1540"/>
      <c r="H621"/>
      <c r="I621" s="534"/>
      <c r="J621" s="1541"/>
      <c r="L621" s="1541"/>
      <c r="M621" s="1541"/>
      <c r="N621" s="513"/>
      <c r="O621" s="554"/>
      <c r="P621" s="444" t="str">
        <f t="shared" si="25"/>
        <v/>
      </c>
    </row>
    <row r="622" spans="7:16">
      <c r="G622" s="1540"/>
      <c r="H622"/>
      <c r="I622" s="534"/>
      <c r="J622" s="1541"/>
      <c r="L622" s="1541"/>
      <c r="M622" s="1541"/>
      <c r="N622" s="513"/>
      <c r="O622" s="554"/>
      <c r="P622" s="444" t="str">
        <f t="shared" si="25"/>
        <v/>
      </c>
    </row>
    <row r="623" spans="7:16">
      <c r="G623" s="1540"/>
      <c r="H623"/>
      <c r="I623" s="534"/>
      <c r="J623" s="1541"/>
      <c r="L623" s="1541"/>
      <c r="M623" s="1541"/>
      <c r="N623" s="513"/>
      <c r="O623" s="554"/>
      <c r="P623" s="444" t="str">
        <f t="shared" si="25"/>
        <v/>
      </c>
    </row>
    <row r="624" spans="7:16">
      <c r="G624" s="1540"/>
      <c r="H624"/>
      <c r="I624" s="534"/>
      <c r="J624" s="1541"/>
      <c r="L624" s="1541"/>
      <c r="M624" s="1541"/>
      <c r="N624" s="513"/>
      <c r="O624" s="554"/>
      <c r="P624" s="444" t="str">
        <f t="shared" si="25"/>
        <v/>
      </c>
    </row>
    <row r="625" spans="7:16">
      <c r="G625" s="1540"/>
      <c r="H625"/>
      <c r="I625" s="534"/>
      <c r="J625" s="1541"/>
      <c r="L625" s="1541"/>
      <c r="M625" s="1541"/>
      <c r="N625" s="513"/>
      <c r="O625" s="554"/>
      <c r="P625" s="444" t="str">
        <f t="shared" si="25"/>
        <v/>
      </c>
    </row>
    <row r="626" spans="7:16">
      <c r="G626" s="1540"/>
      <c r="H626"/>
      <c r="I626" s="534"/>
      <c r="J626" s="1541"/>
      <c r="L626" s="1541"/>
      <c r="M626" s="1541"/>
      <c r="N626" s="513"/>
      <c r="O626" s="554"/>
      <c r="P626" s="444" t="str">
        <f t="shared" si="25"/>
        <v/>
      </c>
    </row>
    <row r="627" spans="7:16">
      <c r="G627" s="1540"/>
      <c r="H627"/>
      <c r="I627" s="534"/>
      <c r="J627" s="1541"/>
      <c r="L627" s="1541"/>
      <c r="M627" s="1541"/>
      <c r="N627" s="513"/>
      <c r="O627" s="554"/>
      <c r="P627" s="444" t="str">
        <f t="shared" si="25"/>
        <v/>
      </c>
    </row>
    <row r="628" spans="7:16">
      <c r="G628" s="1540"/>
      <c r="H628"/>
      <c r="I628" s="534"/>
      <c r="J628" s="1541"/>
      <c r="L628" s="1541"/>
      <c r="M628" s="1541"/>
      <c r="N628" s="513"/>
      <c r="O628" s="554"/>
      <c r="P628" s="444" t="str">
        <f t="shared" si="25"/>
        <v/>
      </c>
    </row>
    <row r="629" spans="7:16">
      <c r="G629" s="1540"/>
      <c r="H629"/>
      <c r="I629" s="534"/>
      <c r="J629" s="1541"/>
      <c r="L629" s="1541"/>
      <c r="M629" s="1541"/>
      <c r="N629" s="513"/>
      <c r="O629" s="554"/>
      <c r="P629" s="444" t="str">
        <f t="shared" si="25"/>
        <v/>
      </c>
    </row>
    <row r="630" spans="7:16">
      <c r="G630" s="1540"/>
      <c r="H630"/>
      <c r="I630" s="534"/>
      <c r="J630" s="1541"/>
      <c r="L630" s="1541"/>
      <c r="M630" s="1541"/>
      <c r="N630" s="513"/>
      <c r="O630" s="554"/>
      <c r="P630" s="444" t="str">
        <f t="shared" si="25"/>
        <v/>
      </c>
    </row>
    <row r="631" spans="7:16">
      <c r="G631" s="1540"/>
      <c r="H631"/>
      <c r="I631" s="534"/>
      <c r="J631" s="1541"/>
      <c r="L631" s="1541"/>
      <c r="M631" s="1541"/>
      <c r="N631" s="513"/>
      <c r="O631" s="554"/>
      <c r="P631" s="444" t="str">
        <f t="shared" si="25"/>
        <v/>
      </c>
    </row>
    <row r="632" spans="7:16">
      <c r="G632" s="1540"/>
      <c r="H632"/>
      <c r="I632" s="534"/>
      <c r="J632" s="1541"/>
      <c r="L632" s="1541"/>
      <c r="M632" s="1541"/>
      <c r="N632" s="513"/>
      <c r="O632" s="554"/>
      <c r="P632" s="444" t="str">
        <f t="shared" si="25"/>
        <v/>
      </c>
    </row>
    <row r="633" spans="7:16">
      <c r="G633" s="1540"/>
      <c r="H633"/>
      <c r="I633" s="534"/>
      <c r="J633" s="1541"/>
      <c r="L633" s="1541"/>
      <c r="M633" s="1541"/>
      <c r="N633" s="513"/>
      <c r="O633" s="554"/>
      <c r="P633" s="444" t="str">
        <f t="shared" si="25"/>
        <v/>
      </c>
    </row>
    <row r="634" spans="7:16">
      <c r="G634" s="1540"/>
      <c r="H634"/>
      <c r="I634" s="534"/>
      <c r="J634" s="1541"/>
      <c r="L634" s="1541"/>
      <c r="M634" s="1541"/>
      <c r="N634" s="513"/>
      <c r="O634" s="554"/>
      <c r="P634" s="444" t="str">
        <f t="shared" si="25"/>
        <v/>
      </c>
    </row>
    <row r="635" spans="7:16">
      <c r="G635" s="1540"/>
      <c r="H635"/>
      <c r="I635" s="534"/>
      <c r="J635" s="1541"/>
      <c r="L635" s="1541"/>
      <c r="M635" s="1541"/>
      <c r="N635" s="513"/>
      <c r="O635" s="554"/>
      <c r="P635" s="444" t="str">
        <f t="shared" si="25"/>
        <v/>
      </c>
    </row>
    <row r="636" spans="7:16">
      <c r="G636" s="1540"/>
      <c r="H636"/>
      <c r="I636" s="534"/>
      <c r="J636" s="1541"/>
      <c r="L636" s="1541"/>
      <c r="M636" s="1541"/>
      <c r="N636" s="513"/>
      <c r="O636" s="554"/>
      <c r="P636" s="444" t="str">
        <f t="shared" si="25"/>
        <v/>
      </c>
    </row>
    <row r="637" spans="7:16">
      <c r="G637" s="1540"/>
      <c r="H637"/>
      <c r="I637" s="534"/>
      <c r="J637" s="1541"/>
      <c r="L637" s="1541"/>
      <c r="M637" s="1541"/>
      <c r="N637" s="513"/>
      <c r="O637" s="554"/>
      <c r="P637" s="444" t="str">
        <f t="shared" si="25"/>
        <v/>
      </c>
    </row>
    <row r="638" spans="7:16">
      <c r="G638" s="1540"/>
      <c r="H638"/>
      <c r="I638" s="534"/>
      <c r="J638" s="1541"/>
      <c r="L638" s="1541"/>
      <c r="M638" s="1541"/>
      <c r="N638" s="513"/>
      <c r="O638" s="554"/>
      <c r="P638" s="444" t="str">
        <f t="shared" si="25"/>
        <v/>
      </c>
    </row>
    <row r="639" spans="7:16">
      <c r="G639" s="1540"/>
      <c r="H639"/>
      <c r="I639" s="534"/>
      <c r="J639" s="1541"/>
      <c r="L639" s="1541"/>
      <c r="M639" s="1541"/>
      <c r="N639" s="513"/>
      <c r="O639" s="554"/>
      <c r="P639" s="444" t="str">
        <f t="shared" si="25"/>
        <v/>
      </c>
    </row>
    <row r="640" spans="7:16">
      <c r="G640" s="1540"/>
      <c r="H640"/>
      <c r="I640" s="534"/>
      <c r="J640" s="1541"/>
      <c r="L640" s="1541"/>
      <c r="M640" s="1541"/>
      <c r="N640" s="513"/>
      <c r="O640" s="554"/>
      <c r="P640" s="444" t="str">
        <f t="shared" si="25"/>
        <v/>
      </c>
    </row>
    <row r="641" spans="7:16">
      <c r="G641" s="1540"/>
      <c r="H641"/>
      <c r="I641" s="534"/>
      <c r="J641" s="1541"/>
      <c r="L641" s="1541"/>
      <c r="M641" s="1541"/>
      <c r="N641" s="513"/>
      <c r="O641" s="554"/>
      <c r="P641" s="444" t="str">
        <f t="shared" si="25"/>
        <v/>
      </c>
    </row>
    <row r="642" spans="7:16">
      <c r="G642" s="1540"/>
      <c r="H642"/>
      <c r="I642" s="534"/>
      <c r="J642" s="1541"/>
      <c r="L642" s="1541"/>
      <c r="M642" s="1541"/>
      <c r="N642" s="513"/>
      <c r="O642" s="554"/>
      <c r="P642" s="444" t="str">
        <f t="shared" si="25"/>
        <v/>
      </c>
    </row>
    <row r="643" spans="7:16">
      <c r="G643" s="1540"/>
      <c r="H643"/>
      <c r="I643" s="534"/>
      <c r="J643" s="1541"/>
      <c r="L643" s="1541"/>
      <c r="M643" s="1541"/>
      <c r="N643" s="513"/>
      <c r="O643" s="554"/>
      <c r="P643" s="444" t="str">
        <f t="shared" si="25"/>
        <v/>
      </c>
    </row>
    <row r="644" spans="7:16">
      <c r="G644" s="1540"/>
      <c r="H644"/>
      <c r="I644" s="534"/>
      <c r="J644" s="1541"/>
      <c r="L644" s="1541"/>
      <c r="M644" s="1541"/>
      <c r="N644" s="513"/>
      <c r="O644" s="554"/>
      <c r="P644" s="444" t="str">
        <f t="shared" si="25"/>
        <v/>
      </c>
    </row>
    <row r="645" spans="7:16">
      <c r="G645" s="1540"/>
      <c r="H645"/>
      <c r="I645" s="534"/>
      <c r="J645" s="1541"/>
      <c r="L645" s="1541"/>
      <c r="M645" s="1541"/>
      <c r="N645" s="513"/>
      <c r="O645" s="554"/>
      <c r="P645" s="444" t="str">
        <f t="shared" si="25"/>
        <v/>
      </c>
    </row>
    <row r="646" spans="7:16">
      <c r="G646" s="1540"/>
      <c r="H646"/>
      <c r="I646" s="534"/>
      <c r="J646" s="1541"/>
      <c r="L646" s="1541"/>
      <c r="M646" s="1541"/>
      <c r="N646" s="513"/>
      <c r="O646" s="554"/>
      <c r="P646" s="444" t="str">
        <f t="shared" si="25"/>
        <v/>
      </c>
    </row>
    <row r="647" spans="7:16">
      <c r="G647" s="1540"/>
      <c r="H647"/>
      <c r="I647" s="534"/>
      <c r="J647" s="1541"/>
      <c r="L647" s="1541"/>
      <c r="M647" s="1541"/>
      <c r="N647" s="513"/>
      <c r="O647" s="554"/>
      <c r="P647" s="444" t="str">
        <f t="shared" si="25"/>
        <v/>
      </c>
    </row>
    <row r="648" spans="7:16">
      <c r="G648" s="1540"/>
      <c r="H648"/>
      <c r="I648" s="534"/>
      <c r="J648" s="1541"/>
      <c r="L648" s="1541"/>
      <c r="M648" s="1541"/>
      <c r="N648" s="513"/>
      <c r="O648" s="554"/>
      <c r="P648" s="444" t="str">
        <f t="shared" si="25"/>
        <v/>
      </c>
    </row>
    <row r="649" spans="7:16">
      <c r="G649" s="1540"/>
      <c r="H649"/>
      <c r="I649" s="534"/>
      <c r="J649" s="1541"/>
      <c r="L649" s="1541"/>
      <c r="M649" s="1541"/>
      <c r="N649" s="513"/>
      <c r="O649" s="554"/>
      <c r="P649" s="444" t="str">
        <f t="shared" si="25"/>
        <v/>
      </c>
    </row>
    <row r="650" spans="7:16">
      <c r="G650" s="1540"/>
      <c r="H650"/>
      <c r="I650" s="534"/>
      <c r="J650" s="1541"/>
      <c r="L650" s="1541"/>
      <c r="M650" s="1541"/>
      <c r="N650" s="513"/>
      <c r="O650" s="554"/>
      <c r="P650" s="444" t="str">
        <f t="shared" si="25"/>
        <v/>
      </c>
    </row>
    <row r="651" spans="7:16">
      <c r="G651" s="1540"/>
      <c r="H651"/>
      <c r="I651" s="534"/>
      <c r="J651" s="1541"/>
      <c r="L651" s="1541"/>
      <c r="M651" s="1541"/>
      <c r="N651" s="513"/>
      <c r="O651" s="554"/>
      <c r="P651" s="444" t="str">
        <f t="shared" si="25"/>
        <v/>
      </c>
    </row>
    <row r="652" spans="7:16">
      <c r="G652" s="1540"/>
      <c r="H652"/>
      <c r="I652" s="534"/>
      <c r="J652" s="1541"/>
      <c r="L652" s="1541"/>
      <c r="M652" s="1541"/>
      <c r="N652" s="513"/>
      <c r="O652" s="554"/>
      <c r="P652" s="444" t="str">
        <f t="shared" si="25"/>
        <v/>
      </c>
    </row>
    <row r="653" spans="7:16">
      <c r="G653" s="1540"/>
      <c r="H653"/>
      <c r="I653" s="534"/>
      <c r="J653" s="1541"/>
      <c r="L653" s="1541"/>
      <c r="M653" s="1541"/>
      <c r="N653" s="513"/>
      <c r="O653" s="554"/>
      <c r="P653" s="444" t="str">
        <f t="shared" ref="P653:P716" si="26">IFERROR(INDEX($A$12:$A$36,MATCH($N653,$D$12:$D$36,0)),"")</f>
        <v/>
      </c>
    </row>
    <row r="654" spans="7:16">
      <c r="G654" s="1540"/>
      <c r="H654"/>
      <c r="I654" s="534"/>
      <c r="J654" s="1541"/>
      <c r="L654" s="1541"/>
      <c r="M654" s="1541"/>
      <c r="N654" s="513"/>
      <c r="O654" s="554"/>
      <c r="P654" s="444" t="str">
        <f t="shared" si="26"/>
        <v/>
      </c>
    </row>
    <row r="655" spans="7:16">
      <c r="G655" s="1540"/>
      <c r="H655"/>
      <c r="I655" s="534"/>
      <c r="J655" s="1541"/>
      <c r="L655" s="1541"/>
      <c r="M655" s="1541"/>
      <c r="N655" s="513"/>
      <c r="O655" s="554"/>
      <c r="P655" s="444" t="str">
        <f t="shared" si="26"/>
        <v/>
      </c>
    </row>
    <row r="656" spans="7:16">
      <c r="G656" s="1540"/>
      <c r="H656"/>
      <c r="I656" s="534"/>
      <c r="J656" s="1541"/>
      <c r="L656" s="1541"/>
      <c r="M656" s="1541"/>
      <c r="N656" s="513"/>
      <c r="O656" s="554"/>
      <c r="P656" s="444" t="str">
        <f t="shared" si="26"/>
        <v/>
      </c>
    </row>
    <row r="657" spans="7:16">
      <c r="G657" s="1540"/>
      <c r="H657"/>
      <c r="I657" s="534"/>
      <c r="J657" s="1541"/>
      <c r="L657" s="1541"/>
      <c r="M657" s="1541"/>
      <c r="N657" s="513"/>
      <c r="O657" s="554"/>
      <c r="P657" s="444" t="str">
        <f t="shared" si="26"/>
        <v/>
      </c>
    </row>
    <row r="658" spans="7:16">
      <c r="G658" s="1540"/>
      <c r="H658"/>
      <c r="I658" s="534"/>
      <c r="J658" s="1541"/>
      <c r="L658" s="1541"/>
      <c r="M658" s="1541"/>
      <c r="N658" s="513"/>
      <c r="O658" s="554"/>
      <c r="P658" s="444" t="str">
        <f t="shared" si="26"/>
        <v/>
      </c>
    </row>
    <row r="659" spans="7:16">
      <c r="G659" s="1540"/>
      <c r="H659"/>
      <c r="I659" s="534"/>
      <c r="J659" s="1541"/>
      <c r="L659" s="1541"/>
      <c r="M659" s="1541"/>
      <c r="N659" s="513"/>
      <c r="O659" s="554"/>
      <c r="P659" s="444" t="str">
        <f t="shared" si="26"/>
        <v/>
      </c>
    </row>
    <row r="660" spans="7:16">
      <c r="G660" s="1540"/>
      <c r="H660"/>
      <c r="I660" s="534"/>
      <c r="J660" s="1541"/>
      <c r="L660" s="1541"/>
      <c r="M660" s="1541"/>
      <c r="N660" s="513"/>
      <c r="O660" s="554"/>
      <c r="P660" s="444" t="str">
        <f t="shared" si="26"/>
        <v/>
      </c>
    </row>
    <row r="661" spans="7:16">
      <c r="G661" s="1540"/>
      <c r="H661"/>
      <c r="I661" s="534"/>
      <c r="J661" s="1541"/>
      <c r="L661" s="1541"/>
      <c r="M661" s="1541"/>
      <c r="N661" s="513"/>
      <c r="O661" s="554"/>
      <c r="P661" s="444" t="str">
        <f t="shared" si="26"/>
        <v/>
      </c>
    </row>
    <row r="662" spans="7:16">
      <c r="G662" s="1540"/>
      <c r="H662"/>
      <c r="I662" s="534"/>
      <c r="J662" s="1541"/>
      <c r="L662" s="1541"/>
      <c r="M662" s="1541"/>
      <c r="N662" s="513"/>
      <c r="O662" s="554"/>
      <c r="P662" s="444" t="str">
        <f t="shared" si="26"/>
        <v/>
      </c>
    </row>
    <row r="663" spans="7:16">
      <c r="G663" s="1540"/>
      <c r="H663"/>
      <c r="I663" s="534"/>
      <c r="J663" s="1541"/>
      <c r="L663" s="1541"/>
      <c r="M663" s="1541"/>
      <c r="N663" s="513"/>
      <c r="O663" s="554"/>
      <c r="P663" s="444" t="str">
        <f t="shared" si="26"/>
        <v/>
      </c>
    </row>
    <row r="664" spans="7:16">
      <c r="G664" s="1540"/>
      <c r="H664"/>
      <c r="I664" s="534"/>
      <c r="J664" s="1541"/>
      <c r="L664" s="1541"/>
      <c r="M664" s="1541"/>
      <c r="N664" s="513"/>
      <c r="O664" s="554"/>
      <c r="P664" s="444" t="str">
        <f t="shared" si="26"/>
        <v/>
      </c>
    </row>
    <row r="665" spans="7:16">
      <c r="G665" s="1540"/>
      <c r="H665"/>
      <c r="I665" s="534"/>
      <c r="J665" s="1541"/>
      <c r="L665" s="1541"/>
      <c r="M665" s="1541"/>
      <c r="N665" s="513"/>
      <c r="O665" s="554"/>
      <c r="P665" s="444" t="str">
        <f t="shared" si="26"/>
        <v/>
      </c>
    </row>
    <row r="666" spans="7:16">
      <c r="G666" s="1540"/>
      <c r="H666"/>
      <c r="I666" s="534"/>
      <c r="J666" s="1541"/>
      <c r="L666" s="1541"/>
      <c r="M666" s="1541"/>
      <c r="N666" s="513"/>
      <c r="O666" s="554"/>
      <c r="P666" s="444" t="str">
        <f t="shared" si="26"/>
        <v/>
      </c>
    </row>
    <row r="667" spans="7:16">
      <c r="G667" s="1540"/>
      <c r="H667"/>
      <c r="I667" s="534"/>
      <c r="J667" s="1541"/>
      <c r="L667" s="1541"/>
      <c r="M667" s="1541"/>
      <c r="N667" s="513"/>
      <c r="O667" s="554"/>
      <c r="P667" s="444" t="str">
        <f t="shared" si="26"/>
        <v/>
      </c>
    </row>
    <row r="668" spans="7:16">
      <c r="G668" s="1540"/>
      <c r="H668"/>
      <c r="I668" s="534"/>
      <c r="J668" s="1541"/>
      <c r="L668" s="1541"/>
      <c r="M668" s="1541"/>
      <c r="N668" s="513"/>
      <c r="O668" s="554"/>
      <c r="P668" s="444" t="str">
        <f t="shared" si="26"/>
        <v/>
      </c>
    </row>
    <row r="669" spans="7:16">
      <c r="G669" s="1540"/>
      <c r="H669"/>
      <c r="I669" s="534"/>
      <c r="J669" s="1541"/>
      <c r="L669" s="1541"/>
      <c r="M669" s="1541"/>
      <c r="N669" s="513"/>
      <c r="O669" s="554"/>
      <c r="P669" s="444" t="str">
        <f t="shared" si="26"/>
        <v/>
      </c>
    </row>
    <row r="670" spans="7:16">
      <c r="G670" s="1540"/>
      <c r="H670"/>
      <c r="I670" s="534"/>
      <c r="J670" s="1541"/>
      <c r="L670" s="1541"/>
      <c r="M670" s="1541"/>
      <c r="N670" s="513"/>
      <c r="O670" s="554"/>
      <c r="P670" s="444" t="str">
        <f t="shared" si="26"/>
        <v/>
      </c>
    </row>
    <row r="671" spans="7:16">
      <c r="G671" s="1540"/>
      <c r="H671"/>
      <c r="I671" s="534"/>
      <c r="J671" s="1541"/>
      <c r="L671" s="1541"/>
      <c r="M671" s="1541"/>
      <c r="N671" s="513"/>
      <c r="O671" s="554"/>
      <c r="P671" s="444" t="str">
        <f t="shared" si="26"/>
        <v/>
      </c>
    </row>
    <row r="672" spans="7:16">
      <c r="G672" s="1540"/>
      <c r="H672"/>
      <c r="I672" s="534"/>
      <c r="J672" s="1541"/>
      <c r="L672" s="1541"/>
      <c r="M672" s="1541"/>
      <c r="N672" s="513"/>
      <c r="O672" s="554"/>
      <c r="P672" s="444" t="str">
        <f t="shared" si="26"/>
        <v/>
      </c>
    </row>
    <row r="673" spans="7:16">
      <c r="G673" s="1540"/>
      <c r="H673"/>
      <c r="I673" s="534"/>
      <c r="J673" s="1541"/>
      <c r="L673" s="1541"/>
      <c r="M673" s="1541"/>
      <c r="N673" s="513"/>
      <c r="O673" s="554"/>
      <c r="P673" s="444" t="str">
        <f t="shared" si="26"/>
        <v/>
      </c>
    </row>
    <row r="674" spans="7:16">
      <c r="G674" s="1540"/>
      <c r="H674"/>
      <c r="I674" s="534"/>
      <c r="J674" s="1541"/>
      <c r="L674" s="1541"/>
      <c r="M674" s="1541"/>
      <c r="N674" s="513"/>
      <c r="O674" s="554"/>
      <c r="P674" s="444" t="str">
        <f t="shared" si="26"/>
        <v/>
      </c>
    </row>
    <row r="675" spans="7:16">
      <c r="G675" s="1540"/>
      <c r="H675"/>
      <c r="I675" s="534"/>
      <c r="J675" s="1541"/>
      <c r="L675" s="1541"/>
      <c r="M675" s="1541"/>
      <c r="N675" s="513"/>
      <c r="O675" s="554"/>
      <c r="P675" s="444" t="str">
        <f t="shared" si="26"/>
        <v/>
      </c>
    </row>
    <row r="676" spans="7:16">
      <c r="G676" s="1540"/>
      <c r="H676"/>
      <c r="I676" s="534"/>
      <c r="J676" s="1541"/>
      <c r="L676" s="1541"/>
      <c r="M676" s="1541"/>
      <c r="N676" s="513"/>
      <c r="O676" s="554"/>
      <c r="P676" s="444" t="str">
        <f t="shared" si="26"/>
        <v/>
      </c>
    </row>
    <row r="677" spans="7:16">
      <c r="G677" s="1540"/>
      <c r="H677"/>
      <c r="I677" s="534"/>
      <c r="J677" s="1541"/>
      <c r="L677" s="1541"/>
      <c r="M677" s="1541"/>
      <c r="N677" s="513"/>
      <c r="O677" s="554"/>
      <c r="P677" s="444" t="str">
        <f t="shared" si="26"/>
        <v/>
      </c>
    </row>
    <row r="678" spans="7:16">
      <c r="G678" s="1540"/>
      <c r="H678"/>
      <c r="I678" s="534"/>
      <c r="J678" s="1541"/>
      <c r="L678" s="1541"/>
      <c r="M678" s="1541"/>
      <c r="N678" s="513"/>
      <c r="O678" s="554"/>
      <c r="P678" s="444" t="str">
        <f t="shared" si="26"/>
        <v/>
      </c>
    </row>
    <row r="679" spans="7:16">
      <c r="G679" s="1540"/>
      <c r="H679"/>
      <c r="I679" s="534"/>
      <c r="J679" s="1541"/>
      <c r="L679" s="1541"/>
      <c r="M679" s="1541"/>
      <c r="N679" s="513"/>
      <c r="O679" s="554"/>
      <c r="P679" s="444" t="str">
        <f t="shared" si="26"/>
        <v/>
      </c>
    </row>
    <row r="680" spans="7:16">
      <c r="G680" s="1540"/>
      <c r="H680"/>
      <c r="I680" s="534"/>
      <c r="J680" s="1541"/>
      <c r="L680" s="1541"/>
      <c r="M680" s="1541"/>
      <c r="N680" s="513"/>
      <c r="O680" s="554"/>
      <c r="P680" s="444" t="str">
        <f t="shared" si="26"/>
        <v/>
      </c>
    </row>
    <row r="681" spans="7:16">
      <c r="G681" s="1540"/>
      <c r="H681"/>
      <c r="I681" s="534"/>
      <c r="J681" s="1541"/>
      <c r="L681" s="1541"/>
      <c r="M681" s="1541"/>
      <c r="N681" s="513"/>
      <c r="O681" s="554"/>
      <c r="P681" s="444" t="str">
        <f t="shared" si="26"/>
        <v/>
      </c>
    </row>
    <row r="682" spans="7:16">
      <c r="G682" s="1540"/>
      <c r="H682"/>
      <c r="I682" s="534"/>
      <c r="J682" s="1541"/>
      <c r="L682" s="1541"/>
      <c r="M682" s="1541"/>
      <c r="N682" s="513"/>
      <c r="O682" s="554"/>
      <c r="P682" s="444" t="str">
        <f t="shared" si="26"/>
        <v/>
      </c>
    </row>
    <row r="683" spans="7:16">
      <c r="G683" s="1540"/>
      <c r="H683"/>
      <c r="I683" s="534"/>
      <c r="J683" s="1541"/>
      <c r="L683" s="1541"/>
      <c r="M683" s="1541"/>
      <c r="N683" s="513"/>
      <c r="O683" s="554"/>
      <c r="P683" s="444" t="str">
        <f t="shared" si="26"/>
        <v/>
      </c>
    </row>
    <row r="684" spans="7:16">
      <c r="G684" s="1540"/>
      <c r="H684"/>
      <c r="I684" s="534"/>
      <c r="J684" s="1541"/>
      <c r="L684" s="1541"/>
      <c r="M684" s="1541"/>
      <c r="N684" s="513"/>
      <c r="O684" s="554"/>
      <c r="P684" s="444" t="str">
        <f t="shared" si="26"/>
        <v/>
      </c>
    </row>
    <row r="685" spans="7:16">
      <c r="G685" s="1540"/>
      <c r="H685"/>
      <c r="I685" s="534"/>
      <c r="J685" s="1541"/>
      <c r="L685" s="1541"/>
      <c r="M685" s="1541"/>
      <c r="N685" s="513"/>
      <c r="O685" s="554"/>
      <c r="P685" s="444" t="str">
        <f t="shared" si="26"/>
        <v/>
      </c>
    </row>
    <row r="686" spans="7:16">
      <c r="G686" s="1540"/>
      <c r="H686"/>
      <c r="I686" s="534"/>
      <c r="J686" s="1541"/>
      <c r="L686" s="1541"/>
      <c r="M686" s="1541"/>
      <c r="N686" s="513"/>
      <c r="O686" s="554"/>
      <c r="P686" s="444" t="str">
        <f t="shared" si="26"/>
        <v/>
      </c>
    </row>
    <row r="687" spans="7:16">
      <c r="G687" s="1540"/>
      <c r="H687"/>
      <c r="I687" s="534"/>
      <c r="J687" s="1541"/>
      <c r="L687" s="1541"/>
      <c r="M687" s="1541"/>
      <c r="N687" s="513"/>
      <c r="O687" s="554"/>
      <c r="P687" s="444" t="str">
        <f t="shared" si="26"/>
        <v/>
      </c>
    </row>
    <row r="688" spans="7:16">
      <c r="G688" s="1540"/>
      <c r="H688"/>
      <c r="I688" s="534"/>
      <c r="J688" s="1541"/>
      <c r="L688" s="1541"/>
      <c r="M688" s="1541"/>
      <c r="N688" s="513"/>
      <c r="O688" s="554"/>
      <c r="P688" s="444" t="str">
        <f t="shared" si="26"/>
        <v/>
      </c>
    </row>
    <row r="689" spans="7:16">
      <c r="G689" s="1540"/>
      <c r="H689"/>
      <c r="I689" s="534"/>
      <c r="J689" s="1541"/>
      <c r="L689" s="1541"/>
      <c r="M689" s="1541"/>
      <c r="N689" s="513"/>
      <c r="O689" s="554"/>
      <c r="P689" s="444" t="str">
        <f t="shared" si="26"/>
        <v/>
      </c>
    </row>
    <row r="690" spans="7:16">
      <c r="G690" s="1540"/>
      <c r="H690"/>
      <c r="I690" s="534"/>
      <c r="J690" s="1541"/>
      <c r="L690" s="1541"/>
      <c r="M690" s="1541"/>
      <c r="N690" s="513"/>
      <c r="O690" s="554"/>
      <c r="P690" s="444" t="str">
        <f t="shared" si="26"/>
        <v/>
      </c>
    </row>
    <row r="691" spans="7:16">
      <c r="G691" s="1540"/>
      <c r="H691"/>
      <c r="I691" s="534"/>
      <c r="J691" s="1541"/>
      <c r="L691" s="1541"/>
      <c r="M691" s="1541"/>
      <c r="N691" s="513"/>
      <c r="O691" s="554"/>
      <c r="P691" s="444" t="str">
        <f t="shared" si="26"/>
        <v/>
      </c>
    </row>
    <row r="692" spans="7:16">
      <c r="G692" s="1540"/>
      <c r="H692"/>
      <c r="I692" s="534"/>
      <c r="J692" s="1541"/>
      <c r="L692" s="1541"/>
      <c r="M692" s="1541"/>
      <c r="N692" s="513"/>
      <c r="O692" s="554"/>
      <c r="P692" s="444" t="str">
        <f t="shared" si="26"/>
        <v/>
      </c>
    </row>
    <row r="693" spans="7:16">
      <c r="G693" s="1540"/>
      <c r="H693"/>
      <c r="I693" s="534"/>
      <c r="J693" s="1541"/>
      <c r="L693" s="1541"/>
      <c r="M693" s="1541"/>
      <c r="N693" s="513"/>
      <c r="O693" s="554"/>
      <c r="P693" s="444" t="str">
        <f t="shared" si="26"/>
        <v/>
      </c>
    </row>
    <row r="694" spans="7:16">
      <c r="G694" s="1540"/>
      <c r="H694"/>
      <c r="I694" s="534"/>
      <c r="J694" s="1541"/>
      <c r="L694" s="1541"/>
      <c r="M694" s="1541"/>
      <c r="N694" s="513"/>
      <c r="O694" s="554"/>
      <c r="P694" s="444" t="str">
        <f t="shared" si="26"/>
        <v/>
      </c>
    </row>
    <row r="695" spans="7:16">
      <c r="G695" s="1540"/>
      <c r="H695"/>
      <c r="I695" s="534"/>
      <c r="J695" s="1541"/>
      <c r="L695" s="1541"/>
      <c r="M695" s="1541"/>
      <c r="N695" s="513"/>
      <c r="O695" s="554"/>
      <c r="P695" s="444" t="str">
        <f t="shared" si="26"/>
        <v/>
      </c>
    </row>
    <row r="696" spans="7:16">
      <c r="G696" s="1540"/>
      <c r="H696"/>
      <c r="I696" s="534"/>
      <c r="J696" s="1541"/>
      <c r="L696" s="1541"/>
      <c r="M696" s="1541"/>
      <c r="N696" s="513"/>
      <c r="O696" s="554"/>
      <c r="P696" s="444" t="str">
        <f t="shared" si="26"/>
        <v/>
      </c>
    </row>
    <row r="697" spans="7:16">
      <c r="G697" s="1540"/>
      <c r="H697"/>
      <c r="I697" s="534"/>
      <c r="J697" s="1541"/>
      <c r="L697" s="1541"/>
      <c r="M697" s="1541"/>
      <c r="N697" s="513"/>
      <c r="O697" s="554"/>
      <c r="P697" s="444" t="str">
        <f t="shared" si="26"/>
        <v/>
      </c>
    </row>
    <row r="698" spans="7:16">
      <c r="G698" s="1540"/>
      <c r="H698"/>
      <c r="I698" s="534"/>
      <c r="J698" s="1541"/>
      <c r="L698" s="1541"/>
      <c r="M698" s="1541"/>
      <c r="N698" s="513"/>
      <c r="O698" s="554"/>
      <c r="P698" s="444" t="str">
        <f t="shared" si="26"/>
        <v/>
      </c>
    </row>
    <row r="699" spans="7:16">
      <c r="G699" s="1540"/>
      <c r="H699"/>
      <c r="I699" s="534"/>
      <c r="J699" s="1541"/>
      <c r="L699" s="1541"/>
      <c r="M699" s="1541"/>
      <c r="N699" s="513"/>
      <c r="O699" s="554"/>
      <c r="P699" s="444" t="str">
        <f t="shared" si="26"/>
        <v/>
      </c>
    </row>
    <row r="700" spans="7:16">
      <c r="G700" s="1540"/>
      <c r="H700"/>
      <c r="I700" s="534"/>
      <c r="J700" s="1541"/>
      <c r="L700" s="1541"/>
      <c r="M700" s="1541"/>
      <c r="N700" s="513"/>
      <c r="O700" s="554"/>
      <c r="P700" s="444" t="str">
        <f t="shared" si="26"/>
        <v/>
      </c>
    </row>
    <row r="701" spans="7:16">
      <c r="G701" s="1540"/>
      <c r="H701"/>
      <c r="I701" s="534"/>
      <c r="J701" s="1541"/>
      <c r="L701" s="1541"/>
      <c r="M701" s="1541"/>
      <c r="N701" s="513"/>
      <c r="O701" s="554"/>
      <c r="P701" s="444" t="str">
        <f t="shared" si="26"/>
        <v/>
      </c>
    </row>
    <row r="702" spans="7:16">
      <c r="G702" s="1540"/>
      <c r="H702"/>
      <c r="I702" s="534"/>
      <c r="J702" s="1541"/>
      <c r="L702" s="1541"/>
      <c r="M702" s="1541"/>
      <c r="N702" s="513"/>
      <c r="O702" s="554"/>
      <c r="P702" s="444" t="str">
        <f t="shared" si="26"/>
        <v/>
      </c>
    </row>
    <row r="703" spans="7:16">
      <c r="G703" s="1540"/>
      <c r="H703"/>
      <c r="I703" s="534"/>
      <c r="J703" s="1541"/>
      <c r="L703" s="1541"/>
      <c r="M703" s="1541"/>
      <c r="N703" s="513"/>
      <c r="O703" s="554"/>
      <c r="P703" s="444" t="str">
        <f t="shared" si="26"/>
        <v/>
      </c>
    </row>
    <row r="704" spans="7:16">
      <c r="G704" s="1540"/>
      <c r="H704"/>
      <c r="I704" s="534"/>
      <c r="J704" s="1541"/>
      <c r="L704" s="1541"/>
      <c r="M704" s="1541"/>
      <c r="N704" s="513"/>
      <c r="O704" s="554"/>
      <c r="P704" s="444" t="str">
        <f t="shared" si="26"/>
        <v/>
      </c>
    </row>
    <row r="705" spans="7:16">
      <c r="G705" s="1540"/>
      <c r="H705"/>
      <c r="I705" s="534"/>
      <c r="J705" s="1541"/>
      <c r="L705" s="1541"/>
      <c r="M705" s="1541"/>
      <c r="N705" s="513"/>
      <c r="O705" s="554"/>
      <c r="P705" s="444" t="str">
        <f t="shared" si="26"/>
        <v/>
      </c>
    </row>
    <row r="706" spans="7:16">
      <c r="G706" s="1540"/>
      <c r="H706"/>
      <c r="I706" s="534"/>
      <c r="J706" s="1541"/>
      <c r="L706" s="1541"/>
      <c r="M706" s="1541"/>
      <c r="N706" s="513"/>
      <c r="O706" s="554"/>
      <c r="P706" s="444" t="str">
        <f t="shared" si="26"/>
        <v/>
      </c>
    </row>
    <row r="707" spans="7:16">
      <c r="G707" s="1540"/>
      <c r="H707"/>
      <c r="I707" s="534"/>
      <c r="J707" s="1541"/>
      <c r="L707" s="1541"/>
      <c r="M707" s="1541"/>
      <c r="N707" s="513"/>
      <c r="O707" s="554"/>
      <c r="P707" s="444" t="str">
        <f t="shared" si="26"/>
        <v/>
      </c>
    </row>
    <row r="708" spans="7:16">
      <c r="G708" s="1540"/>
      <c r="H708"/>
      <c r="I708" s="534"/>
      <c r="J708" s="1541"/>
      <c r="L708" s="1541"/>
      <c r="M708" s="1541"/>
      <c r="N708" s="513"/>
      <c r="O708" s="554"/>
      <c r="P708" s="444" t="str">
        <f t="shared" si="26"/>
        <v/>
      </c>
    </row>
    <row r="709" spans="7:16">
      <c r="G709" s="1540"/>
      <c r="H709"/>
      <c r="I709" s="534"/>
      <c r="J709" s="1541"/>
      <c r="L709" s="1541"/>
      <c r="M709" s="1541"/>
      <c r="N709" s="513"/>
      <c r="O709" s="554"/>
      <c r="P709" s="444" t="str">
        <f t="shared" si="26"/>
        <v/>
      </c>
    </row>
    <row r="710" spans="7:16">
      <c r="G710" s="1540"/>
      <c r="H710"/>
      <c r="I710" s="534"/>
      <c r="J710" s="1541"/>
      <c r="L710" s="1541"/>
      <c r="M710" s="1541"/>
      <c r="N710" s="513"/>
      <c r="O710" s="554"/>
      <c r="P710" s="444" t="str">
        <f t="shared" si="26"/>
        <v/>
      </c>
    </row>
    <row r="711" spans="7:16">
      <c r="G711" s="1540"/>
      <c r="H711"/>
      <c r="I711" s="534"/>
      <c r="J711" s="1541"/>
      <c r="L711" s="1541"/>
      <c r="M711" s="1541"/>
      <c r="N711" s="513"/>
      <c r="O711" s="554"/>
      <c r="P711" s="444" t="str">
        <f t="shared" si="26"/>
        <v/>
      </c>
    </row>
    <row r="712" spans="7:16">
      <c r="G712" s="1540"/>
      <c r="H712"/>
      <c r="I712" s="534"/>
      <c r="J712" s="1541"/>
      <c r="L712" s="1541"/>
      <c r="M712" s="1541"/>
      <c r="N712" s="513"/>
      <c r="O712" s="554"/>
      <c r="P712" s="444" t="str">
        <f t="shared" si="26"/>
        <v/>
      </c>
    </row>
    <row r="713" spans="7:16">
      <c r="G713" s="1540"/>
      <c r="H713"/>
      <c r="I713" s="534"/>
      <c r="J713" s="1541"/>
      <c r="L713" s="1541"/>
      <c r="M713" s="1541"/>
      <c r="N713" s="513"/>
      <c r="O713" s="554"/>
      <c r="P713" s="444" t="str">
        <f t="shared" si="26"/>
        <v/>
      </c>
    </row>
    <row r="714" spans="7:16">
      <c r="G714" s="1540"/>
      <c r="H714"/>
      <c r="I714" s="534"/>
      <c r="J714" s="1541"/>
      <c r="L714" s="1541"/>
      <c r="M714" s="1541"/>
      <c r="N714" s="513"/>
      <c r="O714" s="554"/>
      <c r="P714" s="444" t="str">
        <f t="shared" si="26"/>
        <v/>
      </c>
    </row>
    <row r="715" spans="7:16">
      <c r="G715" s="1540"/>
      <c r="H715"/>
      <c r="I715" s="534"/>
      <c r="J715" s="1541"/>
      <c r="L715" s="1541"/>
      <c r="M715" s="1541"/>
      <c r="N715" s="513"/>
      <c r="O715" s="554"/>
      <c r="P715" s="444" t="str">
        <f t="shared" si="26"/>
        <v/>
      </c>
    </row>
    <row r="716" spans="7:16">
      <c r="G716" s="1540"/>
      <c r="H716"/>
      <c r="I716" s="534"/>
      <c r="J716" s="1541"/>
      <c r="L716" s="1541"/>
      <c r="M716" s="1541"/>
      <c r="N716" s="513"/>
      <c r="O716" s="554"/>
      <c r="P716" s="444" t="str">
        <f t="shared" si="26"/>
        <v/>
      </c>
    </row>
    <row r="717" spans="7:16">
      <c r="G717" s="1540"/>
      <c r="H717"/>
      <c r="I717" s="534"/>
      <c r="J717" s="1541"/>
      <c r="L717" s="1541"/>
      <c r="M717" s="1541"/>
      <c r="N717" s="513"/>
      <c r="O717" s="554"/>
      <c r="P717" s="444" t="str">
        <f t="shared" ref="P717:P780" si="27">IFERROR(INDEX($A$12:$A$36,MATCH($N717,$D$12:$D$36,0)),"")</f>
        <v/>
      </c>
    </row>
    <row r="718" spans="7:16">
      <c r="G718" s="1540"/>
      <c r="H718"/>
      <c r="I718" s="534"/>
      <c r="J718" s="1541"/>
      <c r="L718" s="1541"/>
      <c r="M718" s="1541"/>
      <c r="N718" s="513"/>
      <c r="O718" s="554"/>
      <c r="P718" s="444" t="str">
        <f t="shared" si="27"/>
        <v/>
      </c>
    </row>
    <row r="719" spans="7:16">
      <c r="G719" s="1540"/>
      <c r="H719"/>
      <c r="I719" s="534"/>
      <c r="J719" s="1541"/>
      <c r="L719" s="1541"/>
      <c r="M719" s="1541"/>
      <c r="N719" s="513"/>
      <c r="O719" s="554"/>
      <c r="P719" s="444" t="str">
        <f t="shared" si="27"/>
        <v/>
      </c>
    </row>
    <row r="720" spans="7:16">
      <c r="G720" s="1540"/>
      <c r="H720"/>
      <c r="I720" s="534"/>
      <c r="J720" s="1541"/>
      <c r="L720" s="1541"/>
      <c r="M720" s="1541"/>
      <c r="N720" s="513"/>
      <c r="O720" s="554"/>
      <c r="P720" s="444" t="str">
        <f t="shared" si="27"/>
        <v/>
      </c>
    </row>
    <row r="721" spans="7:16">
      <c r="G721" s="1540"/>
      <c r="H721"/>
      <c r="I721" s="534"/>
      <c r="J721" s="1541"/>
      <c r="L721" s="1541"/>
      <c r="M721" s="1541"/>
      <c r="N721" s="513"/>
      <c r="O721" s="554"/>
      <c r="P721" s="444" t="str">
        <f t="shared" si="27"/>
        <v/>
      </c>
    </row>
    <row r="722" spans="7:16">
      <c r="G722" s="1540"/>
      <c r="H722"/>
      <c r="I722" s="534"/>
      <c r="J722" s="1541"/>
      <c r="L722" s="1541"/>
      <c r="M722" s="1541"/>
      <c r="N722" s="513"/>
      <c r="O722" s="554"/>
      <c r="P722" s="444" t="str">
        <f t="shared" si="27"/>
        <v/>
      </c>
    </row>
    <row r="723" spans="7:16">
      <c r="G723" s="1540"/>
      <c r="H723"/>
      <c r="I723" s="534"/>
      <c r="J723" s="1541"/>
      <c r="L723" s="1541"/>
      <c r="M723" s="1541"/>
      <c r="N723" s="513"/>
      <c r="O723" s="554"/>
      <c r="P723" s="444" t="str">
        <f t="shared" si="27"/>
        <v/>
      </c>
    </row>
    <row r="724" spans="7:16">
      <c r="G724" s="1540"/>
      <c r="H724"/>
      <c r="I724" s="534"/>
      <c r="J724" s="1541"/>
      <c r="L724" s="1541"/>
      <c r="M724" s="1541"/>
      <c r="N724" s="513"/>
      <c r="O724" s="554"/>
      <c r="P724" s="444" t="str">
        <f t="shared" si="27"/>
        <v/>
      </c>
    </row>
    <row r="725" spans="7:16">
      <c r="G725" s="1540"/>
      <c r="H725"/>
      <c r="I725" s="534"/>
      <c r="J725" s="1541"/>
      <c r="L725" s="1541"/>
      <c r="M725" s="1541"/>
      <c r="N725" s="513"/>
      <c r="O725" s="554"/>
      <c r="P725" s="444" t="str">
        <f t="shared" si="27"/>
        <v/>
      </c>
    </row>
    <row r="726" spans="7:16">
      <c r="G726" s="1540"/>
      <c r="H726"/>
      <c r="I726" s="534"/>
      <c r="J726" s="1541"/>
      <c r="L726" s="1541"/>
      <c r="M726" s="1541"/>
      <c r="N726" s="513"/>
      <c r="O726" s="554"/>
      <c r="P726" s="444" t="str">
        <f t="shared" si="27"/>
        <v/>
      </c>
    </row>
    <row r="727" spans="7:16">
      <c r="G727" s="1540"/>
      <c r="H727"/>
      <c r="I727" s="534"/>
      <c r="J727" s="1541"/>
      <c r="L727" s="1541"/>
      <c r="M727" s="1541"/>
      <c r="N727" s="513"/>
      <c r="O727" s="554"/>
      <c r="P727" s="444" t="str">
        <f t="shared" si="27"/>
        <v/>
      </c>
    </row>
    <row r="728" spans="7:16">
      <c r="G728" s="1540"/>
      <c r="H728"/>
      <c r="I728" s="534"/>
      <c r="J728" s="1541"/>
      <c r="L728" s="1541"/>
      <c r="M728" s="1541"/>
      <c r="N728" s="513"/>
      <c r="O728" s="554"/>
      <c r="P728" s="444" t="str">
        <f t="shared" si="27"/>
        <v/>
      </c>
    </row>
    <row r="729" spans="7:16">
      <c r="G729" s="1540"/>
      <c r="H729"/>
      <c r="I729" s="534"/>
      <c r="J729" s="1541"/>
      <c r="L729" s="1541"/>
      <c r="M729" s="1541"/>
      <c r="N729" s="513"/>
      <c r="O729" s="554"/>
      <c r="P729" s="444" t="str">
        <f t="shared" si="27"/>
        <v/>
      </c>
    </row>
    <row r="730" spans="7:16">
      <c r="G730" s="1540"/>
      <c r="H730"/>
      <c r="I730" s="534"/>
      <c r="J730" s="1541"/>
      <c r="L730" s="1541"/>
      <c r="M730" s="1541"/>
      <c r="N730" s="513"/>
      <c r="O730" s="554"/>
      <c r="P730" s="444" t="str">
        <f t="shared" si="27"/>
        <v/>
      </c>
    </row>
    <row r="731" spans="7:16">
      <c r="G731" s="1540"/>
      <c r="H731"/>
      <c r="I731" s="534"/>
      <c r="J731" s="1541"/>
      <c r="L731" s="1541"/>
      <c r="M731" s="1541"/>
      <c r="N731" s="513"/>
      <c r="O731" s="554"/>
      <c r="P731" s="444" t="str">
        <f t="shared" si="27"/>
        <v/>
      </c>
    </row>
    <row r="732" spans="7:16">
      <c r="G732" s="1540"/>
      <c r="H732"/>
      <c r="I732" s="534"/>
      <c r="J732" s="1541"/>
      <c r="L732" s="1541"/>
      <c r="M732" s="1541"/>
      <c r="N732" s="513"/>
      <c r="O732" s="554"/>
      <c r="P732" s="444" t="str">
        <f t="shared" si="27"/>
        <v/>
      </c>
    </row>
    <row r="733" spans="7:16">
      <c r="G733" s="1540"/>
      <c r="H733"/>
      <c r="I733" s="534"/>
      <c r="J733" s="1541"/>
      <c r="L733" s="1541"/>
      <c r="M733" s="1541"/>
      <c r="N733" s="513"/>
      <c r="O733" s="554"/>
      <c r="P733" s="444" t="str">
        <f t="shared" si="27"/>
        <v/>
      </c>
    </row>
    <row r="734" spans="7:16">
      <c r="G734" s="1540"/>
      <c r="H734"/>
      <c r="I734" s="534"/>
      <c r="J734" s="1541"/>
      <c r="L734" s="1541"/>
      <c r="M734" s="1541"/>
      <c r="N734" s="513"/>
      <c r="O734" s="554"/>
      <c r="P734" s="444" t="str">
        <f t="shared" si="27"/>
        <v/>
      </c>
    </row>
    <row r="735" spans="7:16">
      <c r="G735" s="1540"/>
      <c r="H735"/>
      <c r="I735" s="534"/>
      <c r="J735" s="1541"/>
      <c r="L735" s="1541"/>
      <c r="M735" s="1541"/>
      <c r="N735" s="513"/>
      <c r="O735" s="554"/>
      <c r="P735" s="444" t="str">
        <f t="shared" si="27"/>
        <v/>
      </c>
    </row>
    <row r="736" spans="7:16">
      <c r="G736" s="1540"/>
      <c r="H736"/>
      <c r="I736" s="534"/>
      <c r="J736" s="1541"/>
      <c r="L736" s="1541"/>
      <c r="M736" s="1541"/>
      <c r="N736" s="513"/>
      <c r="O736" s="554"/>
      <c r="P736" s="444" t="str">
        <f t="shared" si="27"/>
        <v/>
      </c>
    </row>
    <row r="737" spans="7:16">
      <c r="G737" s="1540"/>
      <c r="H737"/>
      <c r="I737" s="534"/>
      <c r="J737" s="1541"/>
      <c r="L737" s="1541"/>
      <c r="M737" s="1541"/>
      <c r="N737" s="513"/>
      <c r="O737" s="554"/>
      <c r="P737" s="444" t="str">
        <f t="shared" si="27"/>
        <v/>
      </c>
    </row>
    <row r="738" spans="7:16">
      <c r="G738" s="1540"/>
      <c r="H738"/>
      <c r="I738" s="534"/>
      <c r="J738" s="1541"/>
      <c r="L738" s="1541"/>
      <c r="M738" s="1541"/>
      <c r="N738" s="513"/>
      <c r="O738" s="554"/>
      <c r="P738" s="444" t="str">
        <f t="shared" si="27"/>
        <v/>
      </c>
    </row>
    <row r="739" spans="7:16">
      <c r="G739" s="1540"/>
      <c r="H739"/>
      <c r="I739" s="534"/>
      <c r="J739" s="1541"/>
      <c r="L739" s="1541"/>
      <c r="M739" s="1541"/>
      <c r="N739" s="513"/>
      <c r="O739" s="554"/>
      <c r="P739" s="444" t="str">
        <f t="shared" si="27"/>
        <v/>
      </c>
    </row>
    <row r="740" spans="7:16">
      <c r="G740" s="1540"/>
      <c r="H740"/>
      <c r="I740" s="534"/>
      <c r="J740" s="1541"/>
      <c r="L740" s="1541"/>
      <c r="M740" s="1541"/>
      <c r="N740" s="513"/>
      <c r="O740" s="554"/>
      <c r="P740" s="444" t="str">
        <f t="shared" si="27"/>
        <v/>
      </c>
    </row>
    <row r="741" spans="7:16">
      <c r="G741" s="1540"/>
      <c r="H741"/>
      <c r="I741" s="534"/>
      <c r="J741" s="1541"/>
      <c r="L741" s="1541"/>
      <c r="M741" s="1541"/>
      <c r="N741" s="513"/>
      <c r="O741" s="554"/>
      <c r="P741" s="444" t="str">
        <f t="shared" si="27"/>
        <v/>
      </c>
    </row>
    <row r="742" spans="7:16">
      <c r="G742" s="1540"/>
      <c r="H742"/>
      <c r="I742" s="534"/>
      <c r="J742" s="1541"/>
      <c r="L742" s="1541"/>
      <c r="M742" s="1541"/>
      <c r="N742" s="513"/>
      <c r="O742" s="554"/>
      <c r="P742" s="444" t="str">
        <f t="shared" si="27"/>
        <v/>
      </c>
    </row>
    <row r="743" spans="7:16">
      <c r="G743" s="1540"/>
      <c r="H743"/>
      <c r="I743" s="534"/>
      <c r="J743" s="1541"/>
      <c r="L743" s="1541"/>
      <c r="M743" s="1541"/>
      <c r="N743" s="513"/>
      <c r="O743" s="554"/>
      <c r="P743" s="444" t="str">
        <f t="shared" si="27"/>
        <v/>
      </c>
    </row>
    <row r="744" spans="7:16">
      <c r="G744" s="1540"/>
      <c r="H744"/>
      <c r="I744" s="534"/>
      <c r="J744" s="1541"/>
      <c r="L744" s="1541"/>
      <c r="M744" s="1541"/>
      <c r="N744" s="513"/>
      <c r="O744" s="554"/>
      <c r="P744" s="444" t="str">
        <f t="shared" si="27"/>
        <v/>
      </c>
    </row>
    <row r="745" spans="7:16">
      <c r="G745" s="1540"/>
      <c r="H745"/>
      <c r="I745" s="534"/>
      <c r="J745" s="1541"/>
      <c r="L745" s="1541"/>
      <c r="M745" s="1541"/>
      <c r="N745" s="513"/>
      <c r="O745" s="554"/>
      <c r="P745" s="444" t="str">
        <f t="shared" si="27"/>
        <v/>
      </c>
    </row>
    <row r="746" spans="7:16">
      <c r="G746" s="1540"/>
      <c r="H746"/>
      <c r="I746" s="534"/>
      <c r="J746" s="1541"/>
      <c r="L746" s="1541"/>
      <c r="M746" s="1541"/>
      <c r="N746" s="513"/>
      <c r="O746" s="554"/>
      <c r="P746" s="444" t="str">
        <f t="shared" si="27"/>
        <v/>
      </c>
    </row>
    <row r="747" spans="7:16">
      <c r="G747" s="1540"/>
      <c r="H747"/>
      <c r="I747" s="534"/>
      <c r="J747" s="1541"/>
      <c r="L747" s="1541"/>
      <c r="M747" s="1541"/>
      <c r="N747" s="513"/>
      <c r="O747" s="554"/>
      <c r="P747" s="444" t="str">
        <f t="shared" si="27"/>
        <v/>
      </c>
    </row>
    <row r="748" spans="7:16">
      <c r="G748" s="1540"/>
      <c r="H748"/>
      <c r="I748" s="534"/>
      <c r="J748" s="1541"/>
      <c r="L748" s="1541"/>
      <c r="M748" s="1541"/>
      <c r="N748" s="513"/>
      <c r="O748" s="554"/>
      <c r="P748" s="444" t="str">
        <f t="shared" si="27"/>
        <v/>
      </c>
    </row>
    <row r="749" spans="7:16">
      <c r="G749" s="1540"/>
      <c r="H749"/>
      <c r="I749" s="534"/>
      <c r="J749" s="1541"/>
      <c r="L749" s="1541"/>
      <c r="M749" s="1541"/>
      <c r="N749" s="513"/>
      <c r="O749" s="554"/>
      <c r="P749" s="444" t="str">
        <f t="shared" si="27"/>
        <v/>
      </c>
    </row>
    <row r="750" spans="7:16">
      <c r="G750" s="1540"/>
      <c r="H750"/>
      <c r="I750" s="534"/>
      <c r="J750" s="1541"/>
      <c r="L750" s="1541"/>
      <c r="M750" s="1541"/>
      <c r="N750" s="513"/>
      <c r="O750" s="554"/>
      <c r="P750" s="444" t="str">
        <f t="shared" si="27"/>
        <v/>
      </c>
    </row>
    <row r="751" spans="7:16">
      <c r="G751" s="1540"/>
      <c r="H751"/>
      <c r="I751" s="534"/>
      <c r="J751" s="1541"/>
      <c r="L751" s="1541"/>
      <c r="M751" s="1541"/>
      <c r="N751" s="513"/>
      <c r="O751" s="554"/>
      <c r="P751" s="444" t="str">
        <f t="shared" si="27"/>
        <v/>
      </c>
    </row>
    <row r="752" spans="7:16">
      <c r="G752" s="1540"/>
      <c r="H752"/>
      <c r="I752" s="534"/>
      <c r="J752" s="1541"/>
      <c r="L752" s="1541"/>
      <c r="M752" s="1541"/>
      <c r="N752" s="513"/>
      <c r="O752" s="554"/>
      <c r="P752" s="444" t="str">
        <f t="shared" si="27"/>
        <v/>
      </c>
    </row>
    <row r="753" spans="7:16">
      <c r="G753" s="1540"/>
      <c r="H753"/>
      <c r="I753" s="534"/>
      <c r="J753" s="1541"/>
      <c r="L753" s="1541"/>
      <c r="M753" s="1541"/>
      <c r="N753" s="513"/>
      <c r="O753" s="554"/>
      <c r="P753" s="444" t="str">
        <f t="shared" si="27"/>
        <v/>
      </c>
    </row>
    <row r="754" spans="7:16">
      <c r="G754" s="1540"/>
      <c r="H754"/>
      <c r="I754" s="534"/>
      <c r="J754" s="1541"/>
      <c r="L754" s="1541"/>
      <c r="M754" s="1541"/>
      <c r="N754" s="513"/>
      <c r="O754" s="554"/>
      <c r="P754" s="444" t="str">
        <f t="shared" si="27"/>
        <v/>
      </c>
    </row>
    <row r="755" spans="7:16">
      <c r="G755" s="1540"/>
      <c r="H755"/>
      <c r="I755" s="534"/>
      <c r="J755" s="1541"/>
      <c r="L755" s="1541"/>
      <c r="M755" s="1541"/>
      <c r="N755" s="513"/>
      <c r="O755" s="554"/>
      <c r="P755" s="444" t="str">
        <f t="shared" si="27"/>
        <v/>
      </c>
    </row>
    <row r="756" spans="7:16">
      <c r="G756" s="1540"/>
      <c r="H756"/>
      <c r="I756" s="534"/>
      <c r="J756" s="1541"/>
      <c r="L756" s="1541"/>
      <c r="M756" s="1541"/>
      <c r="N756" s="513"/>
      <c r="O756" s="554"/>
      <c r="P756" s="444" t="str">
        <f t="shared" si="27"/>
        <v/>
      </c>
    </row>
    <row r="757" spans="7:16">
      <c r="G757" s="1540"/>
      <c r="H757"/>
      <c r="I757" s="534"/>
      <c r="J757" s="1541"/>
      <c r="L757" s="1541"/>
      <c r="M757" s="1541"/>
      <c r="N757" s="513"/>
      <c r="O757" s="554"/>
      <c r="P757" s="444" t="str">
        <f t="shared" si="27"/>
        <v/>
      </c>
    </row>
    <row r="758" spans="7:16">
      <c r="G758" s="1540"/>
      <c r="H758"/>
      <c r="I758" s="534"/>
      <c r="J758" s="1541"/>
      <c r="L758" s="1541"/>
      <c r="M758" s="1541"/>
      <c r="N758" s="513"/>
      <c r="O758" s="554"/>
      <c r="P758" s="444" t="str">
        <f t="shared" si="27"/>
        <v/>
      </c>
    </row>
    <row r="759" spans="7:16">
      <c r="G759" s="1540"/>
      <c r="H759"/>
      <c r="I759" s="534"/>
      <c r="J759" s="1541"/>
      <c r="L759" s="1541"/>
      <c r="M759" s="1541"/>
      <c r="N759" s="513"/>
      <c r="O759" s="554"/>
      <c r="P759" s="444" t="str">
        <f t="shared" si="27"/>
        <v/>
      </c>
    </row>
    <row r="760" spans="7:16">
      <c r="G760" s="1540"/>
      <c r="H760"/>
      <c r="I760" s="534"/>
      <c r="J760" s="1541"/>
      <c r="L760" s="1541"/>
      <c r="M760" s="1541"/>
      <c r="N760" s="513"/>
      <c r="O760" s="554"/>
      <c r="P760" s="444" t="str">
        <f t="shared" si="27"/>
        <v/>
      </c>
    </row>
    <row r="761" spans="7:16">
      <c r="G761" s="1540"/>
      <c r="H761"/>
      <c r="I761" s="534"/>
      <c r="J761" s="1541"/>
      <c r="L761" s="1541"/>
      <c r="M761" s="1541"/>
      <c r="N761" s="513"/>
      <c r="O761" s="554"/>
      <c r="P761" s="444" t="str">
        <f t="shared" si="27"/>
        <v/>
      </c>
    </row>
    <row r="762" spans="7:16">
      <c r="G762" s="1540"/>
      <c r="H762"/>
      <c r="I762" s="534"/>
      <c r="J762" s="1541"/>
      <c r="L762" s="1541"/>
      <c r="M762" s="1541"/>
      <c r="N762" s="513"/>
      <c r="O762" s="554"/>
      <c r="P762" s="444" t="str">
        <f t="shared" si="27"/>
        <v/>
      </c>
    </row>
    <row r="763" spans="7:16">
      <c r="G763" s="1540"/>
      <c r="H763"/>
      <c r="I763" s="534"/>
      <c r="J763" s="1541"/>
      <c r="L763" s="1541"/>
      <c r="M763" s="1541"/>
      <c r="N763" s="513"/>
      <c r="O763" s="554"/>
      <c r="P763" s="444" t="str">
        <f t="shared" si="27"/>
        <v/>
      </c>
    </row>
    <row r="764" spans="7:16">
      <c r="G764" s="1540"/>
      <c r="H764"/>
      <c r="I764" s="534"/>
      <c r="J764" s="1541"/>
      <c r="L764" s="1541"/>
      <c r="M764" s="1541"/>
      <c r="N764" s="513"/>
      <c r="O764" s="554"/>
      <c r="P764" s="444" t="str">
        <f t="shared" si="27"/>
        <v/>
      </c>
    </row>
    <row r="765" spans="7:16">
      <c r="G765" s="1540"/>
      <c r="H765"/>
      <c r="I765" s="534"/>
      <c r="J765" s="1541"/>
      <c r="L765" s="1541"/>
      <c r="M765" s="1541"/>
      <c r="N765" s="513"/>
      <c r="O765" s="554"/>
      <c r="P765" s="444" t="str">
        <f t="shared" si="27"/>
        <v/>
      </c>
    </row>
    <row r="766" spans="7:16">
      <c r="G766" s="1540"/>
      <c r="H766"/>
      <c r="I766" s="534"/>
      <c r="J766" s="1541"/>
      <c r="L766" s="1541"/>
      <c r="M766" s="1541"/>
      <c r="N766" s="513"/>
      <c r="O766" s="554"/>
      <c r="P766" s="444" t="str">
        <f t="shared" si="27"/>
        <v/>
      </c>
    </row>
    <row r="767" spans="7:16">
      <c r="G767" s="1540"/>
      <c r="H767"/>
      <c r="I767" s="534"/>
      <c r="J767" s="1541"/>
      <c r="L767" s="1541"/>
      <c r="M767" s="1541"/>
      <c r="N767" s="513"/>
      <c r="O767" s="554"/>
      <c r="P767" s="444" t="str">
        <f t="shared" si="27"/>
        <v/>
      </c>
    </row>
    <row r="768" spans="7:16">
      <c r="G768" s="1540"/>
      <c r="H768"/>
      <c r="I768" s="534"/>
      <c r="J768" s="1541"/>
      <c r="L768" s="1541"/>
      <c r="M768" s="1541"/>
      <c r="N768" s="513"/>
      <c r="O768" s="554"/>
      <c r="P768" s="444" t="str">
        <f t="shared" si="27"/>
        <v/>
      </c>
    </row>
    <row r="769" spans="7:16">
      <c r="G769" s="1540"/>
      <c r="H769"/>
      <c r="I769" s="534"/>
      <c r="J769" s="1541"/>
      <c r="L769" s="1541"/>
      <c r="M769" s="1541"/>
      <c r="N769" s="513"/>
      <c r="O769" s="554"/>
      <c r="P769" s="444" t="str">
        <f t="shared" si="27"/>
        <v/>
      </c>
    </row>
    <row r="770" spans="7:16">
      <c r="G770" s="1540"/>
      <c r="H770"/>
      <c r="I770" s="534"/>
      <c r="J770" s="1541"/>
      <c r="L770" s="1541"/>
      <c r="M770" s="1541"/>
      <c r="N770" s="513"/>
      <c r="O770" s="554"/>
      <c r="P770" s="444" t="str">
        <f t="shared" si="27"/>
        <v/>
      </c>
    </row>
    <row r="771" spans="7:16">
      <c r="G771" s="1540"/>
      <c r="H771"/>
      <c r="I771" s="534"/>
      <c r="J771" s="1541"/>
      <c r="L771" s="1541"/>
      <c r="M771" s="1541"/>
      <c r="N771" s="513"/>
      <c r="O771" s="554"/>
      <c r="P771" s="444" t="str">
        <f t="shared" si="27"/>
        <v/>
      </c>
    </row>
    <row r="772" spans="7:16">
      <c r="G772" s="1540"/>
      <c r="H772"/>
      <c r="I772" s="534"/>
      <c r="J772" s="1541"/>
      <c r="L772" s="1541"/>
      <c r="M772" s="1541"/>
      <c r="N772" s="513"/>
      <c r="O772" s="554"/>
      <c r="P772" s="444" t="str">
        <f t="shared" si="27"/>
        <v/>
      </c>
    </row>
    <row r="773" spans="7:16">
      <c r="G773" s="1540"/>
      <c r="H773"/>
      <c r="I773" s="534"/>
      <c r="J773" s="1541"/>
      <c r="L773" s="1541"/>
      <c r="M773" s="1541"/>
      <c r="N773" s="513"/>
      <c r="O773" s="554"/>
      <c r="P773" s="444" t="str">
        <f t="shared" si="27"/>
        <v/>
      </c>
    </row>
    <row r="774" spans="7:16">
      <c r="G774" s="1540"/>
      <c r="H774"/>
      <c r="I774" s="534"/>
      <c r="J774" s="1541"/>
      <c r="L774" s="1541"/>
      <c r="M774" s="1541"/>
      <c r="N774" s="513"/>
      <c r="O774" s="554"/>
      <c r="P774" s="444" t="str">
        <f t="shared" si="27"/>
        <v/>
      </c>
    </row>
    <row r="775" spans="7:16">
      <c r="G775" s="1540"/>
      <c r="H775"/>
      <c r="I775" s="534"/>
      <c r="J775" s="1541"/>
      <c r="L775" s="1541"/>
      <c r="M775" s="1541"/>
      <c r="N775" s="513"/>
      <c r="O775" s="554"/>
      <c r="P775" s="444" t="str">
        <f t="shared" si="27"/>
        <v/>
      </c>
    </row>
    <row r="776" spans="7:16">
      <c r="G776" s="1540"/>
      <c r="H776"/>
      <c r="I776" s="534"/>
      <c r="J776" s="1541"/>
      <c r="L776" s="1541"/>
      <c r="M776" s="1541"/>
      <c r="N776" s="513"/>
      <c r="O776" s="554"/>
      <c r="P776" s="444" t="str">
        <f t="shared" si="27"/>
        <v/>
      </c>
    </row>
    <row r="777" spans="7:16">
      <c r="G777" s="1540"/>
      <c r="H777"/>
      <c r="I777" s="534"/>
      <c r="J777" s="1541"/>
      <c r="L777" s="1541"/>
      <c r="M777" s="1541"/>
      <c r="N777" s="513"/>
      <c r="O777" s="554"/>
      <c r="P777" s="444" t="str">
        <f t="shared" si="27"/>
        <v/>
      </c>
    </row>
    <row r="778" spans="7:16">
      <c r="G778" s="1540"/>
      <c r="H778"/>
      <c r="I778" s="534"/>
      <c r="J778" s="1541"/>
      <c r="L778" s="1541"/>
      <c r="M778" s="1541"/>
      <c r="N778" s="513"/>
      <c r="O778" s="554"/>
      <c r="P778" s="444" t="str">
        <f t="shared" si="27"/>
        <v/>
      </c>
    </row>
    <row r="779" spans="7:16">
      <c r="G779" s="1540"/>
      <c r="H779"/>
      <c r="I779" s="534"/>
      <c r="J779" s="1541"/>
      <c r="L779" s="1541"/>
      <c r="M779" s="1541"/>
      <c r="N779" s="513"/>
      <c r="O779" s="554"/>
      <c r="P779" s="444" t="str">
        <f t="shared" si="27"/>
        <v/>
      </c>
    </row>
    <row r="780" spans="7:16">
      <c r="G780" s="1540"/>
      <c r="H780"/>
      <c r="I780" s="534"/>
      <c r="J780" s="1541"/>
      <c r="L780" s="1541"/>
      <c r="M780" s="1541"/>
      <c r="N780" s="513"/>
      <c r="O780" s="554"/>
      <c r="P780" s="444" t="str">
        <f t="shared" si="27"/>
        <v/>
      </c>
    </row>
    <row r="781" spans="7:16">
      <c r="G781" s="1540"/>
      <c r="H781"/>
      <c r="I781" s="534"/>
      <c r="J781" s="1541"/>
      <c r="L781" s="1541"/>
      <c r="M781" s="1541"/>
      <c r="N781" s="513"/>
      <c r="O781" s="554"/>
      <c r="P781" s="444" t="str">
        <f t="shared" ref="P781:P844" si="28">IFERROR(INDEX($A$12:$A$36,MATCH($N781,$D$12:$D$36,0)),"")</f>
        <v/>
      </c>
    </row>
    <row r="782" spans="7:16">
      <c r="G782" s="1540"/>
      <c r="H782"/>
      <c r="I782" s="534"/>
      <c r="J782" s="1541"/>
      <c r="L782" s="1541"/>
      <c r="M782" s="1541"/>
      <c r="N782" s="513"/>
      <c r="O782" s="554"/>
      <c r="P782" s="444" t="str">
        <f t="shared" si="28"/>
        <v/>
      </c>
    </row>
    <row r="783" spans="7:16">
      <c r="G783" s="1540"/>
      <c r="H783"/>
      <c r="I783" s="534"/>
      <c r="J783" s="1541"/>
      <c r="L783" s="1541"/>
      <c r="M783" s="1541"/>
      <c r="N783" s="513"/>
      <c r="O783" s="554"/>
      <c r="P783" s="444" t="str">
        <f t="shared" si="28"/>
        <v/>
      </c>
    </row>
    <row r="784" spans="7:16">
      <c r="G784" s="1540"/>
      <c r="H784"/>
      <c r="I784" s="534"/>
      <c r="J784" s="1541"/>
      <c r="L784" s="1541"/>
      <c r="M784" s="1541"/>
      <c r="N784" s="513"/>
      <c r="O784" s="554"/>
      <c r="P784" s="444" t="str">
        <f t="shared" si="28"/>
        <v/>
      </c>
    </row>
    <row r="785" spans="7:16">
      <c r="G785" s="1540"/>
      <c r="H785"/>
      <c r="I785" s="534"/>
      <c r="J785" s="1541"/>
      <c r="L785" s="1541"/>
      <c r="M785" s="1541"/>
      <c r="N785" s="513"/>
      <c r="O785" s="554"/>
      <c r="P785" s="444" t="str">
        <f t="shared" si="28"/>
        <v/>
      </c>
    </row>
    <row r="786" spans="7:16">
      <c r="G786" s="1540"/>
      <c r="H786"/>
      <c r="I786" s="534"/>
      <c r="J786" s="1541"/>
      <c r="L786" s="1541"/>
      <c r="M786" s="1541"/>
      <c r="N786" s="513"/>
      <c r="O786" s="554"/>
      <c r="P786" s="444" t="str">
        <f t="shared" si="28"/>
        <v/>
      </c>
    </row>
    <row r="787" spans="7:16">
      <c r="G787" s="1540"/>
      <c r="H787"/>
      <c r="I787" s="534"/>
      <c r="J787" s="1541"/>
      <c r="L787" s="1541"/>
      <c r="M787" s="1541"/>
      <c r="N787" s="513"/>
      <c r="O787" s="554"/>
      <c r="P787" s="444" t="str">
        <f t="shared" si="28"/>
        <v/>
      </c>
    </row>
    <row r="788" spans="7:16">
      <c r="G788" s="1540"/>
      <c r="H788"/>
      <c r="I788" s="534"/>
      <c r="J788" s="1541"/>
      <c r="L788" s="1541"/>
      <c r="M788" s="1541"/>
      <c r="N788" s="513"/>
      <c r="O788" s="554"/>
      <c r="P788" s="444" t="str">
        <f t="shared" si="28"/>
        <v/>
      </c>
    </row>
    <row r="789" spans="7:16">
      <c r="G789" s="1540"/>
      <c r="H789"/>
      <c r="I789" s="534"/>
      <c r="J789" s="1541"/>
      <c r="L789" s="1541"/>
      <c r="M789" s="1541"/>
      <c r="N789" s="513"/>
      <c r="O789" s="554"/>
      <c r="P789" s="444" t="str">
        <f t="shared" si="28"/>
        <v/>
      </c>
    </row>
    <row r="790" spans="7:16">
      <c r="G790" s="1540"/>
      <c r="H790"/>
      <c r="I790" s="534"/>
      <c r="J790" s="1541"/>
      <c r="L790" s="1541"/>
      <c r="M790" s="1541"/>
      <c r="N790" s="513"/>
      <c r="O790" s="554"/>
      <c r="P790" s="444" t="str">
        <f t="shared" si="28"/>
        <v/>
      </c>
    </row>
    <row r="791" spans="7:16">
      <c r="G791" s="1540"/>
      <c r="H791"/>
      <c r="I791" s="534"/>
      <c r="J791" s="1541"/>
      <c r="L791" s="1541"/>
      <c r="M791" s="1541"/>
      <c r="N791" s="513"/>
      <c r="O791" s="554"/>
      <c r="P791" s="444" t="str">
        <f t="shared" si="28"/>
        <v/>
      </c>
    </row>
    <row r="792" spans="7:16">
      <c r="G792" s="1540"/>
      <c r="H792"/>
      <c r="I792" s="534"/>
      <c r="J792" s="1541"/>
      <c r="L792" s="1541"/>
      <c r="M792" s="1541"/>
      <c r="N792" s="513"/>
      <c r="O792" s="554"/>
      <c r="P792" s="444" t="str">
        <f t="shared" si="28"/>
        <v/>
      </c>
    </row>
    <row r="793" spans="7:16">
      <c r="G793" s="1540"/>
      <c r="H793"/>
      <c r="I793" s="534"/>
      <c r="J793" s="1541"/>
      <c r="L793" s="1541"/>
      <c r="M793" s="1541"/>
      <c r="N793" s="513"/>
      <c r="O793" s="554"/>
      <c r="P793" s="444" t="str">
        <f t="shared" si="28"/>
        <v/>
      </c>
    </row>
    <row r="794" spans="7:16">
      <c r="G794" s="1540"/>
      <c r="H794"/>
      <c r="I794" s="534"/>
      <c r="J794" s="1541"/>
      <c r="L794" s="1541"/>
      <c r="M794" s="1541"/>
      <c r="N794" s="513"/>
      <c r="O794" s="554"/>
      <c r="P794" s="444" t="str">
        <f t="shared" si="28"/>
        <v/>
      </c>
    </row>
    <row r="795" spans="7:16">
      <c r="G795" s="1540"/>
      <c r="H795"/>
      <c r="I795" s="534"/>
      <c r="J795" s="1541"/>
      <c r="L795" s="1541"/>
      <c r="M795" s="1541"/>
      <c r="N795" s="513"/>
      <c r="O795" s="554"/>
      <c r="P795" s="444" t="str">
        <f t="shared" si="28"/>
        <v/>
      </c>
    </row>
    <row r="796" spans="7:16">
      <c r="G796" s="1540"/>
      <c r="H796"/>
      <c r="I796" s="534"/>
      <c r="J796" s="1541"/>
      <c r="L796" s="1541"/>
      <c r="M796" s="1541"/>
      <c r="N796" s="513"/>
      <c r="O796" s="554"/>
      <c r="P796" s="444" t="str">
        <f t="shared" si="28"/>
        <v/>
      </c>
    </row>
    <row r="797" spans="7:16">
      <c r="G797" s="1540"/>
      <c r="H797"/>
      <c r="I797" s="534"/>
      <c r="J797" s="1541"/>
      <c r="L797" s="1541"/>
      <c r="M797" s="1541"/>
      <c r="N797" s="513"/>
      <c r="O797" s="554"/>
      <c r="P797" s="444" t="str">
        <f t="shared" si="28"/>
        <v/>
      </c>
    </row>
    <row r="798" spans="7:16">
      <c r="G798" s="1540"/>
      <c r="H798"/>
      <c r="I798" s="534"/>
      <c r="J798" s="1541"/>
      <c r="L798" s="1541"/>
      <c r="M798" s="1541"/>
      <c r="N798" s="513"/>
      <c r="O798" s="554"/>
      <c r="P798" s="444" t="str">
        <f t="shared" si="28"/>
        <v/>
      </c>
    </row>
    <row r="799" spans="7:16">
      <c r="G799" s="1540"/>
      <c r="H799"/>
      <c r="I799" s="534"/>
      <c r="J799" s="1541"/>
      <c r="L799" s="1541"/>
      <c r="M799" s="1541"/>
      <c r="N799" s="513"/>
      <c r="O799" s="554"/>
      <c r="P799" s="444" t="str">
        <f t="shared" si="28"/>
        <v/>
      </c>
    </row>
    <row r="800" spans="7:16">
      <c r="G800" s="1540"/>
      <c r="H800"/>
      <c r="I800" s="534"/>
      <c r="J800" s="1541"/>
      <c r="L800" s="1541"/>
      <c r="M800" s="1541"/>
      <c r="N800" s="513"/>
      <c r="O800" s="554"/>
      <c r="P800" s="444" t="str">
        <f t="shared" si="28"/>
        <v/>
      </c>
    </row>
    <row r="801" spans="7:16">
      <c r="G801" s="1540"/>
      <c r="H801"/>
      <c r="I801" s="534"/>
      <c r="J801" s="1541"/>
      <c r="L801" s="1541"/>
      <c r="M801" s="1541"/>
      <c r="N801" s="513"/>
      <c r="O801" s="554"/>
      <c r="P801" s="444" t="str">
        <f t="shared" si="28"/>
        <v/>
      </c>
    </row>
    <row r="802" spans="7:16">
      <c r="G802" s="1540"/>
      <c r="H802"/>
      <c r="I802" s="534"/>
      <c r="J802" s="1541"/>
      <c r="L802" s="1541"/>
      <c r="M802" s="1541"/>
      <c r="N802" s="513"/>
      <c r="O802" s="554"/>
      <c r="P802" s="444" t="str">
        <f t="shared" si="28"/>
        <v/>
      </c>
    </row>
    <row r="803" spans="7:16">
      <c r="G803" s="1540"/>
      <c r="H803"/>
      <c r="I803" s="534"/>
      <c r="J803" s="1541"/>
      <c r="L803" s="1541"/>
      <c r="M803" s="1541"/>
      <c r="N803" s="513"/>
      <c r="O803" s="554"/>
      <c r="P803" s="444" t="str">
        <f t="shared" si="28"/>
        <v/>
      </c>
    </row>
    <row r="804" spans="7:16">
      <c r="G804" s="1540"/>
      <c r="H804"/>
      <c r="I804" s="534"/>
      <c r="J804" s="1541"/>
      <c r="L804" s="1541"/>
      <c r="M804" s="1541"/>
      <c r="N804" s="513"/>
      <c r="O804" s="554"/>
      <c r="P804" s="444" t="str">
        <f t="shared" si="28"/>
        <v/>
      </c>
    </row>
    <row r="805" spans="7:16">
      <c r="G805" s="1540"/>
      <c r="H805"/>
      <c r="I805" s="534"/>
      <c r="J805" s="1541"/>
      <c r="L805" s="1541"/>
      <c r="M805" s="1541"/>
      <c r="N805" s="513"/>
      <c r="O805" s="554"/>
      <c r="P805" s="444" t="str">
        <f t="shared" si="28"/>
        <v/>
      </c>
    </row>
    <row r="806" spans="7:16">
      <c r="G806" s="1540"/>
      <c r="H806"/>
      <c r="I806" s="534"/>
      <c r="J806" s="1541"/>
      <c r="L806" s="1541"/>
      <c r="M806" s="1541"/>
      <c r="N806" s="513"/>
      <c r="O806" s="554"/>
      <c r="P806" s="444" t="str">
        <f t="shared" si="28"/>
        <v/>
      </c>
    </row>
    <row r="807" spans="7:16">
      <c r="G807" s="1540"/>
      <c r="H807"/>
      <c r="I807" s="534"/>
      <c r="J807" s="1541"/>
      <c r="L807" s="1541"/>
      <c r="M807" s="1541"/>
      <c r="N807" s="513"/>
      <c r="O807" s="554"/>
      <c r="P807" s="444" t="str">
        <f t="shared" si="28"/>
        <v/>
      </c>
    </row>
    <row r="808" spans="7:16">
      <c r="G808" s="1540"/>
      <c r="H808"/>
      <c r="I808" s="534"/>
      <c r="J808" s="1541"/>
      <c r="L808" s="1541"/>
      <c r="M808" s="1541"/>
      <c r="N808" s="513"/>
      <c r="O808" s="554"/>
      <c r="P808" s="444" t="str">
        <f t="shared" si="28"/>
        <v/>
      </c>
    </row>
    <row r="809" spans="7:16">
      <c r="G809" s="1540"/>
      <c r="H809"/>
      <c r="I809" s="534"/>
      <c r="J809" s="1541"/>
      <c r="L809" s="1541"/>
      <c r="M809" s="1541"/>
      <c r="N809" s="513"/>
      <c r="O809" s="554"/>
      <c r="P809" s="444" t="str">
        <f t="shared" si="28"/>
        <v/>
      </c>
    </row>
    <row r="810" spans="7:16">
      <c r="G810" s="1540"/>
      <c r="H810"/>
      <c r="I810" s="534"/>
      <c r="J810" s="1541"/>
      <c r="L810" s="1541"/>
      <c r="M810" s="1541"/>
      <c r="N810" s="513"/>
      <c r="O810" s="554"/>
      <c r="P810" s="444" t="str">
        <f t="shared" si="28"/>
        <v/>
      </c>
    </row>
    <row r="811" spans="7:16">
      <c r="G811" s="1540"/>
      <c r="H811"/>
      <c r="I811" s="534"/>
      <c r="J811" s="1541"/>
      <c r="L811" s="1541"/>
      <c r="M811" s="1541"/>
      <c r="N811" s="513"/>
      <c r="O811" s="554"/>
      <c r="P811" s="444" t="str">
        <f t="shared" si="28"/>
        <v/>
      </c>
    </row>
    <row r="812" spans="7:16">
      <c r="G812" s="1540"/>
      <c r="H812"/>
      <c r="I812" s="534"/>
      <c r="J812" s="1541"/>
      <c r="L812" s="1541"/>
      <c r="M812" s="1541"/>
      <c r="N812" s="513"/>
      <c r="O812" s="554"/>
      <c r="P812" s="444" t="str">
        <f t="shared" si="28"/>
        <v/>
      </c>
    </row>
    <row r="813" spans="7:16">
      <c r="G813" s="1540"/>
      <c r="H813"/>
      <c r="I813" s="534"/>
      <c r="J813" s="1541"/>
      <c r="L813" s="1541"/>
      <c r="M813" s="1541"/>
      <c r="N813" s="513"/>
      <c r="O813" s="554"/>
      <c r="P813" s="444" t="str">
        <f t="shared" si="28"/>
        <v/>
      </c>
    </row>
    <row r="814" spans="7:16">
      <c r="G814" s="1540"/>
      <c r="H814"/>
      <c r="I814" s="534"/>
      <c r="J814" s="1541"/>
      <c r="L814" s="1541"/>
      <c r="M814" s="1541"/>
      <c r="N814" s="513"/>
      <c r="O814" s="554"/>
      <c r="P814" s="444" t="str">
        <f t="shared" si="28"/>
        <v/>
      </c>
    </row>
    <row r="815" spans="7:16">
      <c r="G815" s="1540"/>
      <c r="H815"/>
      <c r="I815" s="534"/>
      <c r="J815" s="1541"/>
      <c r="L815" s="1541"/>
      <c r="M815" s="1541"/>
      <c r="N815" s="513"/>
      <c r="O815" s="554"/>
      <c r="P815" s="444" t="str">
        <f t="shared" si="28"/>
        <v/>
      </c>
    </row>
    <row r="816" spans="7:16">
      <c r="G816" s="1540"/>
      <c r="H816"/>
      <c r="I816" s="534"/>
      <c r="J816" s="1541"/>
      <c r="L816" s="1541"/>
      <c r="M816" s="1541"/>
      <c r="N816" s="513"/>
      <c r="O816" s="554"/>
      <c r="P816" s="444" t="str">
        <f t="shared" si="28"/>
        <v/>
      </c>
    </row>
    <row r="817" spans="7:16">
      <c r="G817" s="1540"/>
      <c r="H817"/>
      <c r="I817" s="534"/>
      <c r="J817" s="1541"/>
      <c r="L817" s="1541"/>
      <c r="M817" s="1541"/>
      <c r="N817" s="513"/>
      <c r="O817" s="554"/>
      <c r="P817" s="444" t="str">
        <f t="shared" si="28"/>
        <v/>
      </c>
    </row>
    <row r="818" spans="7:16">
      <c r="G818" s="1540"/>
      <c r="H818"/>
      <c r="I818" s="534"/>
      <c r="J818" s="1541"/>
      <c r="L818" s="1541"/>
      <c r="M818" s="1541"/>
      <c r="N818" s="513"/>
      <c r="O818" s="554"/>
      <c r="P818" s="444" t="str">
        <f t="shared" si="28"/>
        <v/>
      </c>
    </row>
    <row r="819" spans="7:16">
      <c r="G819" s="1540"/>
      <c r="H819"/>
      <c r="I819" s="534"/>
      <c r="J819" s="1541"/>
      <c r="L819" s="1541"/>
      <c r="M819" s="1541"/>
      <c r="N819" s="513"/>
      <c r="O819" s="554"/>
      <c r="P819" s="444" t="str">
        <f t="shared" si="28"/>
        <v/>
      </c>
    </row>
    <row r="820" spans="7:16">
      <c r="G820" s="1540"/>
      <c r="H820"/>
      <c r="I820" s="534"/>
      <c r="J820" s="1541"/>
      <c r="L820" s="1541"/>
      <c r="M820" s="1541"/>
      <c r="N820" s="513"/>
      <c r="O820" s="554"/>
      <c r="P820" s="444" t="str">
        <f t="shared" si="28"/>
        <v/>
      </c>
    </row>
    <row r="821" spans="7:16">
      <c r="G821" s="1540"/>
      <c r="H821"/>
      <c r="I821" s="534"/>
      <c r="J821" s="1541"/>
      <c r="L821" s="1541"/>
      <c r="M821" s="1541"/>
      <c r="N821" s="513"/>
      <c r="O821" s="554"/>
      <c r="P821" s="444" t="str">
        <f t="shared" si="28"/>
        <v/>
      </c>
    </row>
    <row r="822" spans="7:16">
      <c r="G822" s="1540"/>
      <c r="H822"/>
      <c r="I822" s="534"/>
      <c r="J822" s="1541"/>
      <c r="L822" s="1541"/>
      <c r="M822" s="1541"/>
      <c r="N822" s="513"/>
      <c r="O822" s="554"/>
      <c r="P822" s="444" t="str">
        <f t="shared" si="28"/>
        <v/>
      </c>
    </row>
    <row r="823" spans="7:16">
      <c r="G823" s="1540"/>
      <c r="H823"/>
      <c r="I823" s="534"/>
      <c r="J823" s="1541"/>
      <c r="L823" s="1541"/>
      <c r="M823" s="1541"/>
      <c r="N823" s="513"/>
      <c r="O823" s="554"/>
      <c r="P823" s="444" t="str">
        <f t="shared" si="28"/>
        <v/>
      </c>
    </row>
    <row r="824" spans="7:16">
      <c r="G824" s="1540"/>
      <c r="H824"/>
      <c r="I824" s="534"/>
      <c r="J824" s="1541"/>
      <c r="L824" s="1541"/>
      <c r="M824" s="1541"/>
      <c r="N824" s="513"/>
      <c r="O824" s="554"/>
      <c r="P824" s="444" t="str">
        <f t="shared" si="28"/>
        <v/>
      </c>
    </row>
    <row r="825" spans="7:16">
      <c r="G825" s="1540"/>
      <c r="H825"/>
      <c r="I825" s="534"/>
      <c r="J825" s="1541"/>
      <c r="L825" s="1541"/>
      <c r="M825" s="1541"/>
      <c r="N825" s="513"/>
      <c r="O825" s="554"/>
      <c r="P825" s="444" t="str">
        <f t="shared" si="28"/>
        <v/>
      </c>
    </row>
    <row r="826" spans="7:16">
      <c r="G826" s="1540"/>
      <c r="H826"/>
      <c r="I826" s="534"/>
      <c r="J826" s="1541"/>
      <c r="L826" s="1541"/>
      <c r="M826" s="1541"/>
      <c r="N826" s="513"/>
      <c r="O826" s="554"/>
      <c r="P826" s="444" t="str">
        <f t="shared" si="28"/>
        <v/>
      </c>
    </row>
    <row r="827" spans="7:16">
      <c r="G827" s="1540"/>
      <c r="H827"/>
      <c r="I827" s="534"/>
      <c r="J827" s="1541"/>
      <c r="L827" s="1541"/>
      <c r="M827" s="1541"/>
      <c r="N827" s="513"/>
      <c r="O827" s="554"/>
      <c r="P827" s="444" t="str">
        <f t="shared" si="28"/>
        <v/>
      </c>
    </row>
    <row r="828" spans="7:16">
      <c r="G828" s="1540"/>
      <c r="H828"/>
      <c r="I828" s="534"/>
      <c r="J828" s="1541"/>
      <c r="L828" s="1541"/>
      <c r="M828" s="1541"/>
      <c r="N828" s="513"/>
      <c r="O828" s="554"/>
      <c r="P828" s="444" t="str">
        <f t="shared" si="28"/>
        <v/>
      </c>
    </row>
    <row r="829" spans="7:16">
      <c r="G829" s="1540"/>
      <c r="H829"/>
      <c r="I829" s="534"/>
      <c r="J829" s="1541"/>
      <c r="L829" s="1541"/>
      <c r="M829" s="1541"/>
      <c r="N829" s="513"/>
      <c r="O829" s="554"/>
      <c r="P829" s="444" t="str">
        <f t="shared" si="28"/>
        <v/>
      </c>
    </row>
    <row r="830" spans="7:16">
      <c r="G830" s="1540"/>
      <c r="H830"/>
      <c r="I830" s="534"/>
      <c r="J830" s="1541"/>
      <c r="L830" s="1541"/>
      <c r="M830" s="1541"/>
      <c r="N830" s="513"/>
      <c r="O830" s="554"/>
      <c r="P830" s="444" t="str">
        <f t="shared" si="28"/>
        <v/>
      </c>
    </row>
    <row r="831" spans="7:16">
      <c r="G831" s="1540"/>
      <c r="H831"/>
      <c r="I831" s="534"/>
      <c r="J831" s="1541"/>
      <c r="L831" s="1541"/>
      <c r="M831" s="1541"/>
      <c r="N831" s="513"/>
      <c r="O831" s="554"/>
      <c r="P831" s="444" t="str">
        <f t="shared" si="28"/>
        <v/>
      </c>
    </row>
    <row r="832" spans="7:16">
      <c r="G832" s="1540"/>
      <c r="H832"/>
      <c r="I832" s="534"/>
      <c r="J832" s="1541"/>
      <c r="L832" s="1541"/>
      <c r="M832" s="1541"/>
      <c r="N832" s="513"/>
      <c r="O832" s="554"/>
      <c r="P832" s="444" t="str">
        <f t="shared" si="28"/>
        <v/>
      </c>
    </row>
    <row r="833" spans="7:16">
      <c r="G833" s="1540"/>
      <c r="H833"/>
      <c r="I833" s="534"/>
      <c r="J833" s="1541"/>
      <c r="L833" s="1541"/>
      <c r="M833" s="1541"/>
      <c r="N833" s="513"/>
      <c r="O833" s="554"/>
      <c r="P833" s="444" t="str">
        <f t="shared" si="28"/>
        <v/>
      </c>
    </row>
    <row r="834" spans="7:16">
      <c r="G834" s="1540"/>
      <c r="H834"/>
      <c r="I834" s="534"/>
      <c r="J834" s="1541"/>
      <c r="L834" s="1541"/>
      <c r="M834" s="1541"/>
      <c r="N834" s="513"/>
      <c r="O834" s="554"/>
      <c r="P834" s="444" t="str">
        <f t="shared" si="28"/>
        <v/>
      </c>
    </row>
    <row r="835" spans="7:16">
      <c r="G835" s="1540"/>
      <c r="H835"/>
      <c r="I835" s="534"/>
      <c r="J835" s="1541"/>
      <c r="L835" s="1541"/>
      <c r="M835" s="1541"/>
      <c r="N835" s="513"/>
      <c r="O835" s="554"/>
      <c r="P835" s="444" t="str">
        <f t="shared" si="28"/>
        <v/>
      </c>
    </row>
    <row r="836" spans="7:16">
      <c r="G836" s="1540"/>
      <c r="H836"/>
      <c r="I836" s="534"/>
      <c r="J836" s="1541"/>
      <c r="L836" s="1541"/>
      <c r="M836" s="1541"/>
      <c r="N836" s="513"/>
      <c r="O836" s="554"/>
      <c r="P836" s="444" t="str">
        <f t="shared" si="28"/>
        <v/>
      </c>
    </row>
    <row r="837" spans="7:16">
      <c r="G837" s="1540"/>
      <c r="H837"/>
      <c r="I837" s="534"/>
      <c r="J837" s="1541"/>
      <c r="L837" s="1541"/>
      <c r="M837" s="1541"/>
      <c r="N837" s="513"/>
      <c r="O837" s="554"/>
      <c r="P837" s="444" t="str">
        <f t="shared" si="28"/>
        <v/>
      </c>
    </row>
    <row r="838" spans="7:16">
      <c r="G838" s="1540"/>
      <c r="H838"/>
      <c r="I838" s="534"/>
      <c r="J838" s="1541"/>
      <c r="L838" s="1541"/>
      <c r="M838" s="1541"/>
      <c r="N838" s="513"/>
      <c r="O838" s="554"/>
      <c r="P838" s="444" t="str">
        <f t="shared" si="28"/>
        <v/>
      </c>
    </row>
    <row r="839" spans="7:16">
      <c r="G839" s="1540"/>
      <c r="H839"/>
      <c r="I839" s="534"/>
      <c r="J839" s="1541"/>
      <c r="L839" s="1541"/>
      <c r="M839" s="1541"/>
      <c r="N839" s="513"/>
      <c r="O839" s="554"/>
      <c r="P839" s="444" t="str">
        <f t="shared" si="28"/>
        <v/>
      </c>
    </row>
    <row r="840" spans="7:16">
      <c r="G840" s="1540"/>
      <c r="H840"/>
      <c r="I840" s="534"/>
      <c r="J840" s="1541"/>
      <c r="L840" s="1541"/>
      <c r="M840" s="1541"/>
      <c r="N840" s="513"/>
      <c r="O840" s="554"/>
      <c r="P840" s="444" t="str">
        <f t="shared" si="28"/>
        <v/>
      </c>
    </row>
    <row r="841" spans="7:16">
      <c r="G841" s="1540"/>
      <c r="H841"/>
      <c r="I841" s="534"/>
      <c r="J841" s="1541"/>
      <c r="L841" s="1541"/>
      <c r="M841" s="1541"/>
      <c r="N841" s="513"/>
      <c r="O841" s="554"/>
      <c r="P841" s="444" t="str">
        <f t="shared" si="28"/>
        <v/>
      </c>
    </row>
    <row r="842" spans="7:16">
      <c r="G842" s="1540"/>
      <c r="H842"/>
      <c r="I842" s="534"/>
      <c r="J842" s="1541"/>
      <c r="L842" s="1541"/>
      <c r="M842" s="1541"/>
      <c r="N842" s="513"/>
      <c r="O842" s="554"/>
      <c r="P842" s="444" t="str">
        <f t="shared" si="28"/>
        <v/>
      </c>
    </row>
    <row r="843" spans="7:16">
      <c r="G843" s="1540"/>
      <c r="H843"/>
      <c r="I843" s="534"/>
      <c r="J843" s="1541"/>
      <c r="L843" s="1541"/>
      <c r="M843" s="1541"/>
      <c r="N843" s="513"/>
      <c r="O843" s="554"/>
      <c r="P843" s="444" t="str">
        <f t="shared" si="28"/>
        <v/>
      </c>
    </row>
    <row r="844" spans="7:16">
      <c r="G844" s="1540"/>
      <c r="H844"/>
      <c r="I844" s="534"/>
      <c r="J844" s="1541"/>
      <c r="L844" s="1541"/>
      <c r="M844" s="1541"/>
      <c r="N844" s="513"/>
      <c r="O844" s="554"/>
      <c r="P844" s="444" t="str">
        <f t="shared" si="28"/>
        <v/>
      </c>
    </row>
    <row r="845" spans="7:16">
      <c r="G845" s="1540"/>
      <c r="H845"/>
      <c r="I845" s="534"/>
      <c r="J845" s="1541"/>
      <c r="L845" s="1541"/>
      <c r="M845" s="1541"/>
      <c r="N845" s="513"/>
      <c r="O845" s="554"/>
      <c r="P845" s="444" t="str">
        <f t="shared" ref="P845:P908" si="29">IFERROR(INDEX($A$12:$A$36,MATCH($N845,$D$12:$D$36,0)),"")</f>
        <v/>
      </c>
    </row>
    <row r="846" spans="7:16">
      <c r="G846" s="1540"/>
      <c r="H846"/>
      <c r="I846" s="534"/>
      <c r="J846" s="1541"/>
      <c r="L846" s="1541"/>
      <c r="M846" s="1541"/>
      <c r="N846" s="513"/>
      <c r="O846" s="554"/>
      <c r="P846" s="444" t="str">
        <f t="shared" si="29"/>
        <v/>
      </c>
    </row>
    <row r="847" spans="7:16">
      <c r="G847" s="1540"/>
      <c r="H847"/>
      <c r="I847" s="534"/>
      <c r="J847" s="1541"/>
      <c r="L847" s="1541"/>
      <c r="M847" s="1541"/>
      <c r="N847" s="513"/>
      <c r="O847" s="554"/>
      <c r="P847" s="444" t="str">
        <f t="shared" si="29"/>
        <v/>
      </c>
    </row>
    <row r="848" spans="7:16">
      <c r="G848" s="1540"/>
      <c r="H848"/>
      <c r="I848" s="534"/>
      <c r="J848" s="1541"/>
      <c r="L848" s="1541"/>
      <c r="M848" s="1541"/>
      <c r="N848" s="513"/>
      <c r="O848" s="554"/>
      <c r="P848" s="444" t="str">
        <f t="shared" si="29"/>
        <v/>
      </c>
    </row>
    <row r="849" spans="7:16">
      <c r="G849" s="1540"/>
      <c r="H849"/>
      <c r="I849" s="534"/>
      <c r="J849" s="1541"/>
      <c r="L849" s="1541"/>
      <c r="M849" s="1541"/>
      <c r="N849" s="513"/>
      <c r="O849" s="554"/>
      <c r="P849" s="444" t="str">
        <f t="shared" si="29"/>
        <v/>
      </c>
    </row>
    <row r="850" spans="7:16">
      <c r="G850" s="1540"/>
      <c r="H850"/>
      <c r="I850" s="534"/>
      <c r="J850" s="1541"/>
      <c r="L850" s="1541"/>
      <c r="M850" s="1541"/>
      <c r="N850" s="513"/>
      <c r="O850" s="554"/>
      <c r="P850" s="444" t="str">
        <f t="shared" si="29"/>
        <v/>
      </c>
    </row>
    <row r="851" spans="7:16">
      <c r="G851" s="1540"/>
      <c r="H851"/>
      <c r="I851" s="534"/>
      <c r="J851" s="1541"/>
      <c r="L851" s="1541"/>
      <c r="M851" s="1541"/>
      <c r="N851" s="513"/>
      <c r="O851" s="554"/>
      <c r="P851" s="444" t="str">
        <f t="shared" si="29"/>
        <v/>
      </c>
    </row>
    <row r="852" spans="7:16">
      <c r="G852" s="1540"/>
      <c r="H852"/>
      <c r="I852" s="534"/>
      <c r="J852" s="1541"/>
      <c r="L852" s="1541"/>
      <c r="M852" s="1541"/>
      <c r="N852" s="513"/>
      <c r="O852" s="554"/>
      <c r="P852" s="444" t="str">
        <f t="shared" si="29"/>
        <v/>
      </c>
    </row>
    <row r="853" spans="7:16">
      <c r="G853" s="1540"/>
      <c r="H853"/>
      <c r="I853" s="534"/>
      <c r="J853" s="1541"/>
      <c r="L853" s="1541"/>
      <c r="M853" s="1541"/>
      <c r="N853" s="513"/>
      <c r="O853" s="554"/>
      <c r="P853" s="444" t="str">
        <f t="shared" si="29"/>
        <v/>
      </c>
    </row>
    <row r="854" spans="7:16">
      <c r="G854" s="1540"/>
      <c r="H854"/>
      <c r="I854" s="534"/>
      <c r="J854" s="1541"/>
      <c r="L854" s="1541"/>
      <c r="M854" s="1541"/>
      <c r="N854" s="513"/>
      <c r="O854" s="554"/>
      <c r="P854" s="444" t="str">
        <f t="shared" si="29"/>
        <v/>
      </c>
    </row>
    <row r="855" spans="7:16">
      <c r="G855" s="1540"/>
      <c r="H855"/>
      <c r="I855" s="534"/>
      <c r="J855" s="1541"/>
      <c r="L855" s="1541"/>
      <c r="M855" s="1541"/>
      <c r="N855" s="513"/>
      <c r="O855" s="554"/>
      <c r="P855" s="444" t="str">
        <f t="shared" si="29"/>
        <v/>
      </c>
    </row>
    <row r="856" spans="7:16">
      <c r="G856" s="1540"/>
      <c r="H856"/>
      <c r="I856" s="534"/>
      <c r="J856" s="1541"/>
      <c r="L856" s="1541"/>
      <c r="M856" s="1541"/>
      <c r="N856" s="513"/>
      <c r="O856" s="554"/>
      <c r="P856" s="444" t="str">
        <f t="shared" si="29"/>
        <v/>
      </c>
    </row>
    <row r="857" spans="7:16">
      <c r="G857" s="1540"/>
      <c r="H857"/>
      <c r="I857" s="534"/>
      <c r="J857" s="1541"/>
      <c r="L857" s="1541"/>
      <c r="M857" s="1541"/>
      <c r="N857" s="513"/>
      <c r="O857" s="554"/>
      <c r="P857" s="444" t="str">
        <f t="shared" si="29"/>
        <v/>
      </c>
    </row>
    <row r="858" spans="7:16">
      <c r="G858" s="1540"/>
      <c r="H858"/>
      <c r="I858" s="534"/>
      <c r="J858" s="1541"/>
      <c r="L858" s="1541"/>
      <c r="M858" s="1541"/>
      <c r="N858" s="513"/>
      <c r="O858" s="554"/>
      <c r="P858" s="444" t="str">
        <f t="shared" si="29"/>
        <v/>
      </c>
    </row>
    <row r="859" spans="7:16">
      <c r="G859" s="1540"/>
      <c r="H859"/>
      <c r="I859" s="534"/>
      <c r="J859" s="1541"/>
      <c r="L859" s="1541"/>
      <c r="M859" s="1541"/>
      <c r="N859" s="513"/>
      <c r="O859" s="554"/>
      <c r="P859" s="444" t="str">
        <f t="shared" si="29"/>
        <v/>
      </c>
    </row>
    <row r="860" spans="7:16">
      <c r="G860" s="1540"/>
      <c r="H860"/>
      <c r="I860" s="534"/>
      <c r="J860" s="1541"/>
      <c r="L860" s="1541"/>
      <c r="M860" s="1541"/>
      <c r="N860" s="513"/>
      <c r="O860" s="554"/>
      <c r="P860" s="444" t="str">
        <f t="shared" si="29"/>
        <v/>
      </c>
    </row>
    <row r="861" spans="7:16">
      <c r="G861" s="1540"/>
      <c r="H861"/>
      <c r="I861" s="534"/>
      <c r="J861" s="1541"/>
      <c r="L861" s="1541"/>
      <c r="M861" s="1541"/>
      <c r="N861" s="513"/>
      <c r="O861" s="554"/>
      <c r="P861" s="444" t="str">
        <f t="shared" si="29"/>
        <v/>
      </c>
    </row>
    <row r="862" spans="7:16">
      <c r="G862" s="1540"/>
      <c r="H862"/>
      <c r="I862" s="534"/>
      <c r="J862" s="1541"/>
      <c r="L862" s="1541"/>
      <c r="M862" s="1541"/>
      <c r="N862" s="513"/>
      <c r="O862" s="554"/>
      <c r="P862" s="444" t="str">
        <f t="shared" si="29"/>
        <v/>
      </c>
    </row>
    <row r="863" spans="7:16">
      <c r="G863" s="1540"/>
      <c r="H863"/>
      <c r="I863" s="534"/>
      <c r="J863" s="1541"/>
      <c r="L863" s="1541"/>
      <c r="M863" s="1541"/>
      <c r="N863" s="513"/>
      <c r="O863" s="554"/>
      <c r="P863" s="444" t="str">
        <f t="shared" si="29"/>
        <v/>
      </c>
    </row>
    <row r="864" spans="7:16">
      <c r="G864" s="1540"/>
      <c r="H864"/>
      <c r="I864" s="534"/>
      <c r="J864" s="1541"/>
      <c r="L864" s="1541"/>
      <c r="M864" s="1541"/>
      <c r="N864" s="513"/>
      <c r="O864" s="554"/>
      <c r="P864" s="444" t="str">
        <f t="shared" si="29"/>
        <v/>
      </c>
    </row>
    <row r="865" spans="7:16">
      <c r="G865" s="1540"/>
      <c r="H865"/>
      <c r="I865" s="534"/>
      <c r="J865" s="1541"/>
      <c r="L865" s="1541"/>
      <c r="M865" s="1541"/>
      <c r="N865" s="513"/>
      <c r="O865" s="554"/>
      <c r="P865" s="444" t="str">
        <f t="shared" si="29"/>
        <v/>
      </c>
    </row>
    <row r="866" spans="7:16">
      <c r="G866" s="1540"/>
      <c r="H866"/>
      <c r="I866" s="534"/>
      <c r="J866" s="1541"/>
      <c r="L866" s="1541"/>
      <c r="M866" s="1541"/>
      <c r="N866" s="513"/>
      <c r="O866" s="554"/>
      <c r="P866" s="444" t="str">
        <f t="shared" si="29"/>
        <v/>
      </c>
    </row>
    <row r="867" spans="7:16">
      <c r="G867" s="1540"/>
      <c r="H867"/>
      <c r="I867" s="534"/>
      <c r="J867" s="1541"/>
      <c r="L867" s="1541"/>
      <c r="M867" s="1541"/>
      <c r="N867" s="513"/>
      <c r="O867" s="554"/>
      <c r="P867" s="444" t="str">
        <f t="shared" si="29"/>
        <v/>
      </c>
    </row>
    <row r="868" spans="7:16">
      <c r="G868" s="1540"/>
      <c r="H868"/>
      <c r="I868" s="534"/>
      <c r="J868" s="1541"/>
      <c r="L868" s="1541"/>
      <c r="M868" s="1541"/>
      <c r="N868" s="513"/>
      <c r="O868" s="554"/>
      <c r="P868" s="444" t="str">
        <f t="shared" si="29"/>
        <v/>
      </c>
    </row>
    <row r="869" spans="7:16">
      <c r="G869" s="1540"/>
      <c r="H869"/>
      <c r="I869" s="534"/>
      <c r="J869" s="1541"/>
      <c r="L869" s="1541"/>
      <c r="M869" s="1541"/>
      <c r="N869" s="513"/>
      <c r="O869" s="554"/>
      <c r="P869" s="444" t="str">
        <f t="shared" si="29"/>
        <v/>
      </c>
    </row>
    <row r="870" spans="7:16">
      <c r="G870" s="1540"/>
      <c r="H870"/>
      <c r="I870" s="534"/>
      <c r="J870" s="1541"/>
      <c r="L870" s="1541"/>
      <c r="M870" s="1541"/>
      <c r="N870" s="513"/>
      <c r="O870" s="554"/>
      <c r="P870" s="444" t="str">
        <f t="shared" si="29"/>
        <v/>
      </c>
    </row>
    <row r="871" spans="7:16">
      <c r="G871" s="1540"/>
      <c r="H871"/>
      <c r="I871" s="534"/>
      <c r="J871" s="1541"/>
      <c r="L871" s="1541"/>
      <c r="M871" s="1541"/>
      <c r="N871" s="513"/>
      <c r="O871" s="554"/>
      <c r="P871" s="444" t="str">
        <f t="shared" si="29"/>
        <v/>
      </c>
    </row>
    <row r="872" spans="7:16">
      <c r="G872" s="1540"/>
      <c r="H872"/>
      <c r="I872" s="534"/>
      <c r="J872" s="1541"/>
      <c r="L872" s="1541"/>
      <c r="M872" s="1541"/>
      <c r="N872" s="513"/>
      <c r="O872" s="554"/>
      <c r="P872" s="444" t="str">
        <f t="shared" si="29"/>
        <v/>
      </c>
    </row>
    <row r="873" spans="7:16">
      <c r="G873" s="1540"/>
      <c r="H873"/>
      <c r="I873" s="534"/>
      <c r="J873" s="1541"/>
      <c r="L873" s="1541"/>
      <c r="M873" s="1541"/>
      <c r="N873" s="513"/>
      <c r="O873" s="554"/>
      <c r="P873" s="444" t="str">
        <f t="shared" si="29"/>
        <v/>
      </c>
    </row>
    <row r="874" spans="7:16">
      <c r="G874" s="1540"/>
      <c r="H874"/>
      <c r="I874" s="534"/>
      <c r="J874" s="1541"/>
      <c r="L874" s="1541"/>
      <c r="M874" s="1541"/>
      <c r="N874" s="513"/>
      <c r="O874" s="554"/>
      <c r="P874" s="444" t="str">
        <f t="shared" si="29"/>
        <v/>
      </c>
    </row>
    <row r="875" spans="7:16">
      <c r="G875" s="1540"/>
      <c r="H875"/>
      <c r="I875" s="534"/>
      <c r="J875" s="1541"/>
      <c r="L875" s="1541"/>
      <c r="M875" s="1541"/>
      <c r="N875" s="513"/>
      <c r="O875" s="554"/>
      <c r="P875" s="444" t="str">
        <f t="shared" si="29"/>
        <v/>
      </c>
    </row>
    <row r="876" spans="7:16">
      <c r="G876" s="1540"/>
      <c r="H876"/>
      <c r="I876" s="534"/>
      <c r="J876" s="1541"/>
      <c r="L876" s="1541"/>
      <c r="M876" s="1541"/>
      <c r="N876" s="513"/>
      <c r="O876" s="554"/>
      <c r="P876" s="444" t="str">
        <f t="shared" si="29"/>
        <v/>
      </c>
    </row>
    <row r="877" spans="7:16">
      <c r="G877" s="1540"/>
      <c r="H877"/>
      <c r="I877" s="534"/>
      <c r="J877" s="1541"/>
      <c r="L877" s="1541"/>
      <c r="M877" s="1541"/>
      <c r="N877" s="513"/>
      <c r="O877" s="554"/>
      <c r="P877" s="444" t="str">
        <f t="shared" si="29"/>
        <v/>
      </c>
    </row>
    <row r="878" spans="7:16">
      <c r="G878" s="1540"/>
      <c r="H878"/>
      <c r="I878" s="534"/>
      <c r="J878" s="1541"/>
      <c r="L878" s="1541"/>
      <c r="M878" s="1541"/>
      <c r="N878" s="513"/>
      <c r="O878" s="554"/>
      <c r="P878" s="444" t="str">
        <f t="shared" si="29"/>
        <v/>
      </c>
    </row>
    <row r="879" spans="7:16">
      <c r="G879" s="1540"/>
      <c r="H879"/>
      <c r="I879" s="534"/>
      <c r="J879" s="1541"/>
      <c r="L879" s="1541"/>
      <c r="M879" s="1541"/>
      <c r="N879" s="513"/>
      <c r="O879" s="554"/>
      <c r="P879" s="444" t="str">
        <f t="shared" si="29"/>
        <v/>
      </c>
    </row>
    <row r="880" spans="7:16">
      <c r="G880" s="1540"/>
      <c r="H880"/>
      <c r="I880" s="534"/>
      <c r="J880" s="1541"/>
      <c r="L880" s="1541"/>
      <c r="M880" s="1541"/>
      <c r="N880" s="513"/>
      <c r="O880" s="554"/>
      <c r="P880" s="444" t="str">
        <f t="shared" si="29"/>
        <v/>
      </c>
    </row>
    <row r="881" spans="7:16">
      <c r="G881" s="1540"/>
      <c r="H881"/>
      <c r="I881" s="534"/>
      <c r="J881" s="1541"/>
      <c r="L881" s="1541"/>
      <c r="M881" s="1541"/>
      <c r="N881" s="513"/>
      <c r="O881" s="554"/>
      <c r="P881" s="444" t="str">
        <f t="shared" si="29"/>
        <v/>
      </c>
    </row>
    <row r="882" spans="7:16">
      <c r="G882" s="1540"/>
      <c r="H882"/>
      <c r="I882" s="534"/>
      <c r="J882" s="1541"/>
      <c r="L882" s="1541"/>
      <c r="M882" s="1541"/>
      <c r="N882" s="513"/>
      <c r="O882" s="554"/>
      <c r="P882" s="444" t="str">
        <f t="shared" si="29"/>
        <v/>
      </c>
    </row>
    <row r="883" spans="7:16">
      <c r="G883" s="1540"/>
      <c r="H883"/>
      <c r="I883" s="534"/>
      <c r="J883" s="1541"/>
      <c r="L883" s="1541"/>
      <c r="M883" s="1541"/>
      <c r="N883" s="513"/>
      <c r="O883" s="554"/>
      <c r="P883" s="444" t="str">
        <f t="shared" si="29"/>
        <v/>
      </c>
    </row>
    <row r="884" spans="7:16">
      <c r="G884" s="1540"/>
      <c r="H884"/>
      <c r="I884" s="534"/>
      <c r="J884" s="1541"/>
      <c r="L884" s="1541"/>
      <c r="M884" s="1541"/>
      <c r="N884" s="513"/>
      <c r="O884" s="554"/>
      <c r="P884" s="444" t="str">
        <f t="shared" si="29"/>
        <v/>
      </c>
    </row>
    <row r="885" spans="7:16">
      <c r="G885" s="1540"/>
      <c r="H885"/>
      <c r="I885" s="534"/>
      <c r="J885" s="1541"/>
      <c r="L885" s="1541"/>
      <c r="M885" s="1541"/>
      <c r="N885" s="513"/>
      <c r="O885" s="554"/>
      <c r="P885" s="444" t="str">
        <f t="shared" si="29"/>
        <v/>
      </c>
    </row>
    <row r="886" spans="7:16">
      <c r="G886" s="1540"/>
      <c r="H886"/>
      <c r="I886" s="534"/>
      <c r="J886" s="1541"/>
      <c r="L886" s="1541"/>
      <c r="M886" s="1541"/>
      <c r="N886" s="513"/>
      <c r="O886" s="554"/>
      <c r="P886" s="444" t="str">
        <f t="shared" si="29"/>
        <v/>
      </c>
    </row>
    <row r="887" spans="7:16">
      <c r="G887" s="1540"/>
      <c r="H887"/>
      <c r="I887" s="534"/>
      <c r="J887" s="1541"/>
      <c r="L887" s="1541"/>
      <c r="M887" s="1541"/>
      <c r="N887" s="513"/>
      <c r="O887" s="554"/>
      <c r="P887" s="444" t="str">
        <f t="shared" si="29"/>
        <v/>
      </c>
    </row>
    <row r="888" spans="7:16">
      <c r="G888" s="1540"/>
      <c r="H888"/>
      <c r="I888" s="534"/>
      <c r="J888" s="1541"/>
      <c r="L888" s="1541"/>
      <c r="M888" s="1541"/>
      <c r="N888" s="513"/>
      <c r="O888" s="554"/>
      <c r="P888" s="444" t="str">
        <f t="shared" si="29"/>
        <v/>
      </c>
    </row>
    <row r="889" spans="7:16">
      <c r="G889" s="1540"/>
      <c r="H889"/>
      <c r="I889" s="534"/>
      <c r="J889" s="1541"/>
      <c r="L889" s="1541"/>
      <c r="M889" s="1541"/>
      <c r="N889" s="513"/>
      <c r="O889" s="554"/>
      <c r="P889" s="444" t="str">
        <f t="shared" si="29"/>
        <v/>
      </c>
    </row>
    <row r="890" spans="7:16">
      <c r="G890" s="1540"/>
      <c r="H890"/>
      <c r="I890" s="534"/>
      <c r="J890" s="1541"/>
      <c r="L890" s="1541"/>
      <c r="M890" s="1541"/>
      <c r="N890" s="513"/>
      <c r="O890" s="554"/>
      <c r="P890" s="444" t="str">
        <f t="shared" si="29"/>
        <v/>
      </c>
    </row>
    <row r="891" spans="7:16">
      <c r="G891" s="1540"/>
      <c r="H891"/>
      <c r="I891" s="534"/>
      <c r="J891" s="1541"/>
      <c r="L891" s="1541"/>
      <c r="M891" s="1541"/>
      <c r="N891" s="513"/>
      <c r="O891" s="554"/>
      <c r="P891" s="444" t="str">
        <f t="shared" si="29"/>
        <v/>
      </c>
    </row>
    <row r="892" spans="7:16">
      <c r="G892" s="1540"/>
      <c r="H892"/>
      <c r="I892" s="534"/>
      <c r="J892" s="1541"/>
      <c r="L892" s="1541"/>
      <c r="M892" s="1541"/>
      <c r="N892" s="513"/>
      <c r="O892" s="554"/>
      <c r="P892" s="444" t="str">
        <f t="shared" si="29"/>
        <v/>
      </c>
    </row>
    <row r="893" spans="7:16">
      <c r="G893" s="1540"/>
      <c r="H893"/>
      <c r="I893" s="534"/>
      <c r="J893" s="1541"/>
      <c r="L893" s="1541"/>
      <c r="M893" s="1541"/>
      <c r="N893" s="513"/>
      <c r="O893" s="554"/>
      <c r="P893" s="444" t="str">
        <f t="shared" si="29"/>
        <v/>
      </c>
    </row>
    <row r="894" spans="7:16">
      <c r="G894" s="1540"/>
      <c r="H894"/>
      <c r="I894" s="534"/>
      <c r="J894" s="1541"/>
      <c r="L894" s="1541"/>
      <c r="M894" s="1541"/>
      <c r="N894" s="513"/>
      <c r="O894" s="554"/>
      <c r="P894" s="444" t="str">
        <f t="shared" si="29"/>
        <v/>
      </c>
    </row>
    <row r="895" spans="7:16">
      <c r="G895" s="1540"/>
      <c r="H895"/>
      <c r="I895" s="534"/>
      <c r="J895" s="1541"/>
      <c r="L895" s="1541"/>
      <c r="M895" s="1541"/>
      <c r="N895" s="513"/>
      <c r="O895" s="554"/>
      <c r="P895" s="444" t="str">
        <f t="shared" si="29"/>
        <v/>
      </c>
    </row>
    <row r="896" spans="7:16">
      <c r="G896" s="1540"/>
      <c r="H896"/>
      <c r="I896" s="534"/>
      <c r="J896" s="1541"/>
      <c r="L896" s="1541"/>
      <c r="M896" s="1541"/>
      <c r="N896" s="513"/>
      <c r="O896" s="554"/>
      <c r="P896" s="444" t="str">
        <f t="shared" si="29"/>
        <v/>
      </c>
    </row>
    <row r="897" spans="7:16">
      <c r="G897" s="1540"/>
      <c r="H897"/>
      <c r="I897" s="534"/>
      <c r="J897" s="1541"/>
      <c r="L897" s="1541"/>
      <c r="M897" s="1541"/>
      <c r="N897" s="513"/>
      <c r="O897" s="554"/>
      <c r="P897" s="444" t="str">
        <f t="shared" si="29"/>
        <v/>
      </c>
    </row>
    <row r="898" spans="7:16">
      <c r="G898" s="1540"/>
      <c r="H898"/>
      <c r="I898" s="534"/>
      <c r="J898" s="1541"/>
      <c r="L898" s="1541"/>
      <c r="M898" s="1541"/>
      <c r="N898" s="513"/>
      <c r="O898" s="554"/>
      <c r="P898" s="444" t="str">
        <f t="shared" si="29"/>
        <v/>
      </c>
    </row>
    <row r="899" spans="7:16">
      <c r="G899" s="1540"/>
      <c r="H899"/>
      <c r="I899" s="534"/>
      <c r="J899" s="1541"/>
      <c r="L899" s="1541"/>
      <c r="M899" s="1541"/>
      <c r="N899" s="513"/>
      <c r="O899" s="554"/>
      <c r="P899" s="444" t="str">
        <f t="shared" si="29"/>
        <v/>
      </c>
    </row>
    <row r="900" spans="7:16">
      <c r="G900" s="1540"/>
      <c r="H900"/>
      <c r="I900" s="534"/>
      <c r="J900" s="1541"/>
      <c r="L900" s="1541"/>
      <c r="M900" s="1541"/>
      <c r="N900" s="513"/>
      <c r="O900" s="554"/>
      <c r="P900" s="444" t="str">
        <f t="shared" si="29"/>
        <v/>
      </c>
    </row>
    <row r="901" spans="7:16">
      <c r="G901" s="1540"/>
      <c r="H901"/>
      <c r="I901" s="534"/>
      <c r="J901" s="1541"/>
      <c r="L901" s="1541"/>
      <c r="M901" s="1541"/>
      <c r="N901" s="513"/>
      <c r="O901" s="554"/>
      <c r="P901" s="444" t="str">
        <f t="shared" si="29"/>
        <v/>
      </c>
    </row>
    <row r="902" spans="7:16">
      <c r="G902" s="1540"/>
      <c r="H902"/>
      <c r="I902" s="534"/>
      <c r="J902" s="1541"/>
      <c r="L902" s="1541"/>
      <c r="M902" s="1541"/>
      <c r="N902" s="513"/>
      <c r="O902" s="554"/>
      <c r="P902" s="444" t="str">
        <f t="shared" si="29"/>
        <v/>
      </c>
    </row>
    <row r="903" spans="7:16">
      <c r="G903" s="1540"/>
      <c r="H903"/>
      <c r="I903" s="534"/>
      <c r="J903" s="1541"/>
      <c r="L903" s="1541"/>
      <c r="M903" s="1541"/>
      <c r="N903" s="513"/>
      <c r="O903" s="554"/>
      <c r="P903" s="444" t="str">
        <f t="shared" si="29"/>
        <v/>
      </c>
    </row>
    <row r="904" spans="7:16">
      <c r="G904" s="1540"/>
      <c r="H904"/>
      <c r="I904" s="534"/>
      <c r="J904" s="1541"/>
      <c r="L904" s="1541"/>
      <c r="M904" s="1541"/>
      <c r="N904" s="513"/>
      <c r="O904" s="554"/>
      <c r="P904" s="444" t="str">
        <f t="shared" si="29"/>
        <v/>
      </c>
    </row>
    <row r="905" spans="7:16">
      <c r="G905" s="1540"/>
      <c r="H905"/>
      <c r="I905" s="534"/>
      <c r="J905" s="1541"/>
      <c r="L905" s="1541"/>
      <c r="M905" s="1541"/>
      <c r="N905" s="513"/>
      <c r="O905" s="554"/>
      <c r="P905" s="444" t="str">
        <f t="shared" si="29"/>
        <v/>
      </c>
    </row>
    <row r="906" spans="7:16">
      <c r="G906" s="1540"/>
      <c r="H906"/>
      <c r="I906" s="534"/>
      <c r="J906" s="1541"/>
      <c r="L906" s="1541"/>
      <c r="M906" s="1541"/>
      <c r="N906" s="513"/>
      <c r="O906" s="554"/>
      <c r="P906" s="444" t="str">
        <f t="shared" si="29"/>
        <v/>
      </c>
    </row>
    <row r="907" spans="7:16">
      <c r="G907" s="1540"/>
      <c r="H907"/>
      <c r="I907" s="534"/>
      <c r="J907" s="1541"/>
      <c r="L907" s="1541"/>
      <c r="M907" s="1541"/>
      <c r="N907" s="513"/>
      <c r="O907" s="554"/>
      <c r="P907" s="444" t="str">
        <f t="shared" si="29"/>
        <v/>
      </c>
    </row>
    <row r="908" spans="7:16">
      <c r="G908" s="1540"/>
      <c r="H908"/>
      <c r="I908" s="534"/>
      <c r="J908" s="1541"/>
      <c r="L908" s="1541"/>
      <c r="M908" s="1541"/>
      <c r="N908" s="513"/>
      <c r="O908" s="554"/>
      <c r="P908" s="444" t="str">
        <f t="shared" si="29"/>
        <v/>
      </c>
    </row>
    <row r="909" spans="7:16">
      <c r="G909" s="1540"/>
      <c r="H909"/>
      <c r="I909" s="534"/>
      <c r="J909" s="1541"/>
      <c r="L909" s="1541"/>
      <c r="M909" s="1541"/>
      <c r="N909" s="513"/>
      <c r="O909" s="554"/>
      <c r="P909" s="444" t="str">
        <f t="shared" ref="P909:P972" si="30">IFERROR(INDEX($A$12:$A$36,MATCH($N909,$D$12:$D$36,0)),"")</f>
        <v/>
      </c>
    </row>
    <row r="910" spans="7:16">
      <c r="G910" s="1540"/>
      <c r="H910"/>
      <c r="I910" s="534"/>
      <c r="J910" s="1541"/>
      <c r="L910" s="1541"/>
      <c r="M910" s="1541"/>
      <c r="N910" s="513"/>
      <c r="O910" s="554"/>
      <c r="P910" s="444" t="str">
        <f t="shared" si="30"/>
        <v/>
      </c>
    </row>
    <row r="911" spans="7:16">
      <c r="G911" s="1540"/>
      <c r="H911"/>
      <c r="I911" s="534"/>
      <c r="J911" s="1541"/>
      <c r="L911" s="1541"/>
      <c r="M911" s="1541"/>
      <c r="N911" s="513"/>
      <c r="O911" s="554"/>
      <c r="P911" s="444" t="str">
        <f t="shared" si="30"/>
        <v/>
      </c>
    </row>
    <row r="912" spans="7:16">
      <c r="G912" s="1540"/>
      <c r="H912"/>
      <c r="I912" s="534"/>
      <c r="J912" s="1541"/>
      <c r="L912" s="1541"/>
      <c r="M912" s="1541"/>
      <c r="N912" s="513"/>
      <c r="O912" s="554"/>
      <c r="P912" s="444" t="str">
        <f t="shared" si="30"/>
        <v/>
      </c>
    </row>
    <row r="913" spans="7:16">
      <c r="G913" s="1540"/>
      <c r="H913"/>
      <c r="I913" s="534"/>
      <c r="J913" s="1541"/>
      <c r="L913" s="1541"/>
      <c r="M913" s="1541"/>
      <c r="N913" s="513"/>
      <c r="O913" s="554"/>
      <c r="P913" s="444" t="str">
        <f t="shared" si="30"/>
        <v/>
      </c>
    </row>
    <row r="914" spans="7:16">
      <c r="G914" s="1540"/>
      <c r="H914"/>
      <c r="I914" s="534"/>
      <c r="J914" s="1541"/>
      <c r="L914" s="1541"/>
      <c r="M914" s="1541"/>
      <c r="N914" s="513"/>
      <c r="O914" s="554"/>
      <c r="P914" s="444" t="str">
        <f t="shared" si="30"/>
        <v/>
      </c>
    </row>
    <row r="915" spans="7:16">
      <c r="G915" s="1540"/>
      <c r="H915"/>
      <c r="I915" s="534"/>
      <c r="J915" s="1541"/>
      <c r="L915" s="1541"/>
      <c r="M915" s="1541"/>
      <c r="N915" s="513"/>
      <c r="O915" s="554"/>
      <c r="P915" s="444" t="str">
        <f t="shared" si="30"/>
        <v/>
      </c>
    </row>
    <row r="916" spans="7:16">
      <c r="G916" s="1540"/>
      <c r="H916"/>
      <c r="I916" s="534"/>
      <c r="J916" s="1541"/>
      <c r="L916" s="1541"/>
      <c r="M916" s="1541"/>
      <c r="N916" s="513"/>
      <c r="O916" s="554"/>
      <c r="P916" s="444" t="str">
        <f t="shared" si="30"/>
        <v/>
      </c>
    </row>
    <row r="917" spans="7:16">
      <c r="G917" s="1540"/>
      <c r="H917"/>
      <c r="I917" s="534"/>
      <c r="J917" s="1541"/>
      <c r="L917" s="1541"/>
      <c r="M917" s="1541"/>
      <c r="N917" s="513"/>
      <c r="O917" s="554"/>
      <c r="P917" s="444" t="str">
        <f t="shared" si="30"/>
        <v/>
      </c>
    </row>
    <row r="918" spans="7:16">
      <c r="G918" s="1540"/>
      <c r="H918"/>
      <c r="I918" s="534"/>
      <c r="J918" s="1541"/>
      <c r="L918" s="1541"/>
      <c r="M918" s="1541"/>
      <c r="N918" s="513"/>
      <c r="O918" s="554"/>
      <c r="P918" s="444" t="str">
        <f t="shared" si="30"/>
        <v/>
      </c>
    </row>
    <row r="919" spans="7:16">
      <c r="G919" s="1540"/>
      <c r="H919"/>
      <c r="I919" s="534"/>
      <c r="J919" s="1541"/>
      <c r="L919" s="1541"/>
      <c r="M919" s="1541"/>
      <c r="N919" s="513"/>
      <c r="O919" s="554"/>
      <c r="P919" s="444" t="str">
        <f t="shared" si="30"/>
        <v/>
      </c>
    </row>
    <row r="920" spans="7:16">
      <c r="G920" s="1540"/>
      <c r="H920"/>
      <c r="I920" s="534"/>
      <c r="J920" s="1541"/>
      <c r="L920" s="1541"/>
      <c r="M920" s="1541"/>
      <c r="N920" s="513"/>
      <c r="O920" s="554"/>
      <c r="P920" s="444" t="str">
        <f t="shared" si="30"/>
        <v/>
      </c>
    </row>
    <row r="921" spans="7:16">
      <c r="G921" s="1540"/>
      <c r="H921"/>
      <c r="I921" s="534"/>
      <c r="J921" s="1541"/>
      <c r="L921" s="1541"/>
      <c r="M921" s="1541"/>
      <c r="N921" s="513"/>
      <c r="O921" s="554"/>
      <c r="P921" s="444" t="str">
        <f t="shared" si="30"/>
        <v/>
      </c>
    </row>
    <row r="922" spans="7:16">
      <c r="G922" s="1540"/>
      <c r="H922"/>
      <c r="I922" s="534"/>
      <c r="J922" s="1541"/>
      <c r="L922" s="1541"/>
      <c r="M922" s="1541"/>
      <c r="N922" s="513"/>
      <c r="O922" s="554"/>
      <c r="P922" s="444" t="str">
        <f t="shared" si="30"/>
        <v/>
      </c>
    </row>
    <row r="923" spans="7:16">
      <c r="G923" s="1540"/>
      <c r="H923"/>
      <c r="I923" s="534"/>
      <c r="J923" s="1541"/>
      <c r="L923" s="1541"/>
      <c r="M923" s="1541"/>
      <c r="N923" s="513"/>
      <c r="O923" s="554"/>
      <c r="P923" s="444" t="str">
        <f t="shared" si="30"/>
        <v/>
      </c>
    </row>
    <row r="924" spans="7:16">
      <c r="G924" s="1540"/>
      <c r="H924"/>
      <c r="I924" s="534"/>
      <c r="J924" s="1541"/>
      <c r="L924" s="1541"/>
      <c r="M924" s="1541"/>
      <c r="N924" s="513"/>
      <c r="O924" s="554"/>
      <c r="P924" s="444" t="str">
        <f t="shared" si="30"/>
        <v/>
      </c>
    </row>
    <row r="925" spans="7:16">
      <c r="G925" s="1540"/>
      <c r="H925"/>
      <c r="I925" s="534"/>
      <c r="J925" s="1541"/>
      <c r="L925" s="1541"/>
      <c r="M925" s="1541"/>
      <c r="N925" s="513"/>
      <c r="O925" s="554"/>
      <c r="P925" s="444" t="str">
        <f t="shared" si="30"/>
        <v/>
      </c>
    </row>
    <row r="926" spans="7:16">
      <c r="G926" s="1540"/>
      <c r="H926"/>
      <c r="I926" s="534"/>
      <c r="J926" s="1541"/>
      <c r="L926" s="1541"/>
      <c r="M926" s="1541"/>
      <c r="N926" s="513"/>
      <c r="O926" s="554"/>
      <c r="P926" s="444" t="str">
        <f t="shared" si="30"/>
        <v/>
      </c>
    </row>
    <row r="927" spans="7:16">
      <c r="G927" s="1540"/>
      <c r="H927"/>
      <c r="I927" s="534"/>
      <c r="J927" s="1541"/>
      <c r="L927" s="1541"/>
      <c r="M927" s="1541"/>
      <c r="N927" s="513"/>
      <c r="O927" s="554"/>
      <c r="P927" s="444" t="str">
        <f t="shared" si="30"/>
        <v/>
      </c>
    </row>
    <row r="928" spans="7:16">
      <c r="G928" s="1540"/>
      <c r="H928"/>
      <c r="I928" s="534"/>
      <c r="J928" s="1541"/>
      <c r="L928" s="1541"/>
      <c r="M928" s="1541"/>
      <c r="N928" s="513"/>
      <c r="O928" s="554"/>
      <c r="P928" s="444" t="str">
        <f t="shared" si="30"/>
        <v/>
      </c>
    </row>
    <row r="929" spans="7:16">
      <c r="G929" s="1540"/>
      <c r="H929"/>
      <c r="I929" s="534"/>
      <c r="J929" s="1541"/>
      <c r="L929" s="1541"/>
      <c r="M929" s="1541"/>
      <c r="N929" s="513"/>
      <c r="O929" s="554"/>
      <c r="P929" s="444" t="str">
        <f t="shared" si="30"/>
        <v/>
      </c>
    </row>
    <row r="930" spans="7:16">
      <c r="G930" s="1540"/>
      <c r="H930"/>
      <c r="I930" s="534"/>
      <c r="J930" s="1541"/>
      <c r="L930" s="1541"/>
      <c r="M930" s="1541"/>
      <c r="N930" s="513"/>
      <c r="O930" s="554"/>
      <c r="P930" s="444" t="str">
        <f t="shared" si="30"/>
        <v/>
      </c>
    </row>
    <row r="931" spans="7:16">
      <c r="G931" s="1540"/>
      <c r="H931"/>
      <c r="I931" s="534"/>
      <c r="J931" s="1541"/>
      <c r="L931" s="1541"/>
      <c r="M931" s="1541"/>
      <c r="N931" s="513"/>
      <c r="O931" s="554"/>
      <c r="P931" s="444" t="str">
        <f t="shared" si="30"/>
        <v/>
      </c>
    </row>
    <row r="932" spans="7:16">
      <c r="G932" s="1540"/>
      <c r="H932"/>
      <c r="I932" s="534"/>
      <c r="J932" s="1541"/>
      <c r="L932" s="1541"/>
      <c r="M932" s="1541"/>
      <c r="N932" s="513"/>
      <c r="O932" s="554"/>
      <c r="P932" s="444" t="str">
        <f t="shared" si="30"/>
        <v/>
      </c>
    </row>
    <row r="933" spans="7:16">
      <c r="G933" s="1540"/>
      <c r="H933"/>
      <c r="I933" s="534"/>
      <c r="J933" s="1541"/>
      <c r="L933" s="1541"/>
      <c r="M933" s="1541"/>
      <c r="N933" s="513"/>
      <c r="O933" s="554"/>
      <c r="P933" s="444" t="str">
        <f t="shared" si="30"/>
        <v/>
      </c>
    </row>
    <row r="934" spans="7:16">
      <c r="G934" s="1540"/>
      <c r="H934"/>
      <c r="I934" s="534"/>
      <c r="J934" s="1541"/>
      <c r="L934" s="1541"/>
      <c r="M934" s="1541"/>
      <c r="N934" s="513"/>
      <c r="O934" s="554"/>
      <c r="P934" s="444" t="str">
        <f t="shared" si="30"/>
        <v/>
      </c>
    </row>
    <row r="935" spans="7:16">
      <c r="G935" s="1540"/>
      <c r="H935"/>
      <c r="I935" s="534"/>
      <c r="J935" s="1541"/>
      <c r="L935" s="1541"/>
      <c r="M935" s="1541"/>
      <c r="N935" s="513"/>
      <c r="O935" s="554"/>
      <c r="P935" s="444" t="str">
        <f t="shared" si="30"/>
        <v/>
      </c>
    </row>
    <row r="936" spans="7:16">
      <c r="G936" s="1540"/>
      <c r="H936"/>
      <c r="I936" s="534"/>
      <c r="J936" s="1541"/>
      <c r="L936" s="1541"/>
      <c r="M936" s="1541"/>
      <c r="N936" s="513"/>
      <c r="O936" s="554"/>
      <c r="P936" s="444" t="str">
        <f t="shared" si="30"/>
        <v/>
      </c>
    </row>
    <row r="937" spans="7:16">
      <c r="G937" s="1540"/>
      <c r="H937"/>
      <c r="I937" s="534"/>
      <c r="J937" s="1541"/>
      <c r="L937" s="1541"/>
      <c r="M937" s="1541"/>
      <c r="N937" s="513"/>
      <c r="O937" s="554"/>
      <c r="P937" s="444" t="str">
        <f t="shared" si="30"/>
        <v/>
      </c>
    </row>
    <row r="938" spans="7:16">
      <c r="G938" s="1540"/>
      <c r="H938"/>
      <c r="I938" s="534"/>
      <c r="J938" s="1541"/>
      <c r="L938" s="1541"/>
      <c r="M938" s="1541"/>
      <c r="N938" s="513"/>
      <c r="O938" s="554"/>
      <c r="P938" s="444" t="str">
        <f t="shared" si="30"/>
        <v/>
      </c>
    </row>
    <row r="939" spans="7:16">
      <c r="G939" s="1540"/>
      <c r="H939"/>
      <c r="I939" s="534"/>
      <c r="J939" s="1541"/>
      <c r="L939" s="1541"/>
      <c r="M939" s="1541"/>
      <c r="N939" s="513"/>
      <c r="O939" s="554"/>
      <c r="P939" s="444" t="str">
        <f t="shared" si="30"/>
        <v/>
      </c>
    </row>
    <row r="940" spans="7:16">
      <c r="G940" s="1540"/>
      <c r="H940"/>
      <c r="I940" s="534"/>
      <c r="J940" s="1541"/>
      <c r="L940" s="1541"/>
      <c r="M940" s="1541"/>
      <c r="N940" s="513"/>
      <c r="O940" s="554"/>
      <c r="P940" s="444" t="str">
        <f t="shared" si="30"/>
        <v/>
      </c>
    </row>
    <row r="941" spans="7:16">
      <c r="G941" s="1540"/>
      <c r="H941"/>
      <c r="I941" s="534"/>
      <c r="J941" s="1541"/>
      <c r="L941" s="1541"/>
      <c r="M941" s="1541"/>
      <c r="N941" s="513"/>
      <c r="O941" s="554"/>
      <c r="P941" s="444" t="str">
        <f t="shared" si="30"/>
        <v/>
      </c>
    </row>
    <row r="942" spans="7:16">
      <c r="G942" s="1540"/>
      <c r="H942"/>
      <c r="I942" s="534"/>
      <c r="J942" s="1541"/>
      <c r="L942" s="1541"/>
      <c r="M942" s="1541"/>
      <c r="N942" s="513"/>
      <c r="O942" s="554"/>
      <c r="P942" s="444" t="str">
        <f t="shared" si="30"/>
        <v/>
      </c>
    </row>
    <row r="943" spans="7:16">
      <c r="G943" s="1540"/>
      <c r="H943"/>
      <c r="I943" s="534"/>
      <c r="J943" s="1541"/>
      <c r="L943" s="1541"/>
      <c r="M943" s="1541"/>
      <c r="N943" s="513"/>
      <c r="O943" s="554"/>
      <c r="P943" s="444" t="str">
        <f t="shared" si="30"/>
        <v/>
      </c>
    </row>
    <row r="944" spans="7:16">
      <c r="G944" s="1540"/>
      <c r="H944"/>
      <c r="I944" s="534"/>
      <c r="J944" s="1541"/>
      <c r="L944" s="1541"/>
      <c r="M944" s="1541"/>
      <c r="N944" s="513"/>
      <c r="O944" s="554"/>
      <c r="P944" s="444" t="str">
        <f t="shared" si="30"/>
        <v/>
      </c>
    </row>
    <row r="945" spans="7:16">
      <c r="G945" s="1540"/>
      <c r="H945"/>
      <c r="I945" s="534"/>
      <c r="J945" s="1541"/>
      <c r="L945" s="1541"/>
      <c r="M945" s="1541"/>
      <c r="N945" s="513"/>
      <c r="O945" s="554"/>
      <c r="P945" s="444" t="str">
        <f t="shared" si="30"/>
        <v/>
      </c>
    </row>
    <row r="946" spans="7:16">
      <c r="G946" s="1540"/>
      <c r="H946"/>
      <c r="I946" s="534"/>
      <c r="J946" s="1541"/>
      <c r="L946" s="1541"/>
      <c r="M946" s="1541"/>
      <c r="N946" s="513"/>
      <c r="O946" s="554"/>
      <c r="P946" s="444" t="str">
        <f t="shared" si="30"/>
        <v/>
      </c>
    </row>
    <row r="947" spans="7:16">
      <c r="G947" s="1540"/>
      <c r="H947"/>
      <c r="I947" s="534"/>
      <c r="J947" s="1541"/>
      <c r="L947" s="1541"/>
      <c r="M947" s="1541"/>
      <c r="N947" s="513"/>
      <c r="O947" s="554"/>
      <c r="P947" s="444" t="str">
        <f t="shared" si="30"/>
        <v/>
      </c>
    </row>
    <row r="948" spans="7:16">
      <c r="G948" s="1540"/>
      <c r="H948"/>
      <c r="I948" s="534"/>
      <c r="J948" s="1541"/>
      <c r="L948" s="1541"/>
      <c r="M948" s="1541"/>
      <c r="N948" s="513"/>
      <c r="O948" s="554"/>
      <c r="P948" s="444" t="str">
        <f t="shared" si="30"/>
        <v/>
      </c>
    </row>
    <row r="949" spans="7:16">
      <c r="G949" s="1540"/>
      <c r="H949"/>
      <c r="I949" s="534"/>
      <c r="J949" s="1541"/>
      <c r="L949" s="1541"/>
      <c r="M949" s="1541"/>
      <c r="N949" s="513"/>
      <c r="O949" s="554"/>
      <c r="P949" s="444" t="str">
        <f t="shared" si="30"/>
        <v/>
      </c>
    </row>
    <row r="950" spans="7:16">
      <c r="G950" s="1540"/>
      <c r="H950"/>
      <c r="I950" s="534"/>
      <c r="J950" s="1541"/>
      <c r="L950" s="1541"/>
      <c r="M950" s="1541"/>
      <c r="N950" s="513"/>
      <c r="O950" s="554"/>
      <c r="P950" s="444" t="str">
        <f t="shared" si="30"/>
        <v/>
      </c>
    </row>
    <row r="951" spans="7:16">
      <c r="G951" s="1540"/>
      <c r="H951"/>
      <c r="I951" s="534"/>
      <c r="J951" s="1541"/>
      <c r="L951" s="1541"/>
      <c r="M951" s="1541"/>
      <c r="N951" s="513"/>
      <c r="O951" s="554"/>
      <c r="P951" s="444" t="str">
        <f t="shared" si="30"/>
        <v/>
      </c>
    </row>
    <row r="952" spans="7:16">
      <c r="G952" s="1540"/>
      <c r="H952"/>
      <c r="I952" s="534"/>
      <c r="J952" s="1541"/>
      <c r="L952" s="1541"/>
      <c r="M952" s="1541"/>
      <c r="N952" s="513"/>
      <c r="O952" s="554"/>
      <c r="P952" s="444" t="str">
        <f t="shared" si="30"/>
        <v/>
      </c>
    </row>
    <row r="953" spans="7:16">
      <c r="G953" s="1540"/>
      <c r="H953"/>
      <c r="I953" s="534"/>
      <c r="J953" s="1541"/>
      <c r="L953" s="1541"/>
      <c r="M953" s="1541"/>
      <c r="N953" s="513"/>
      <c r="O953" s="554"/>
      <c r="P953" s="444" t="str">
        <f t="shared" si="30"/>
        <v/>
      </c>
    </row>
    <row r="954" spans="7:16">
      <c r="G954" s="1540"/>
      <c r="H954"/>
      <c r="I954" s="534"/>
      <c r="J954" s="1541"/>
      <c r="L954" s="1541"/>
      <c r="M954" s="1541"/>
      <c r="N954" s="513"/>
      <c r="O954" s="554"/>
      <c r="P954" s="444" t="str">
        <f t="shared" si="30"/>
        <v/>
      </c>
    </row>
    <row r="955" spans="7:16">
      <c r="G955" s="1540"/>
      <c r="H955"/>
      <c r="I955" s="534"/>
      <c r="J955" s="1541"/>
      <c r="L955" s="1541"/>
      <c r="M955" s="1541"/>
      <c r="N955" s="513"/>
      <c r="O955" s="554"/>
      <c r="P955" s="444" t="str">
        <f t="shared" si="30"/>
        <v/>
      </c>
    </row>
    <row r="956" spans="7:16">
      <c r="G956" s="1540"/>
      <c r="H956"/>
      <c r="I956" s="534"/>
      <c r="J956" s="1541"/>
      <c r="L956" s="1541"/>
      <c r="M956" s="1541"/>
      <c r="N956" s="513"/>
      <c r="O956" s="554"/>
      <c r="P956" s="444" t="str">
        <f t="shared" si="30"/>
        <v/>
      </c>
    </row>
    <row r="957" spans="7:16">
      <c r="G957" s="1540"/>
      <c r="H957"/>
      <c r="I957" s="534"/>
      <c r="J957" s="1541"/>
      <c r="L957" s="1541"/>
      <c r="M957" s="1541"/>
      <c r="N957" s="513"/>
      <c r="O957" s="554"/>
      <c r="P957" s="444" t="str">
        <f t="shared" si="30"/>
        <v/>
      </c>
    </row>
    <row r="958" spans="7:16">
      <c r="G958" s="1540"/>
      <c r="H958"/>
      <c r="I958" s="534"/>
      <c r="J958" s="1541"/>
      <c r="L958" s="1541"/>
      <c r="M958" s="1541"/>
      <c r="N958" s="513"/>
      <c r="O958" s="554"/>
      <c r="P958" s="444" t="str">
        <f t="shared" si="30"/>
        <v/>
      </c>
    </row>
    <row r="959" spans="7:16">
      <c r="G959" s="1540"/>
      <c r="H959"/>
      <c r="I959" s="534"/>
      <c r="J959" s="1541"/>
      <c r="L959" s="1541"/>
      <c r="M959" s="1541"/>
      <c r="N959" s="513"/>
      <c r="O959" s="554"/>
      <c r="P959" s="444" t="str">
        <f t="shared" si="30"/>
        <v/>
      </c>
    </row>
    <row r="960" spans="7:16">
      <c r="G960" s="1540"/>
      <c r="H960"/>
      <c r="I960" s="534"/>
      <c r="J960" s="1541"/>
      <c r="L960" s="1541"/>
      <c r="M960" s="1541"/>
      <c r="N960" s="513"/>
      <c r="O960" s="554"/>
      <c r="P960" s="444" t="str">
        <f t="shared" si="30"/>
        <v/>
      </c>
    </row>
    <row r="961" spans="7:16">
      <c r="G961" s="1540"/>
      <c r="H961"/>
      <c r="I961" s="534"/>
      <c r="J961" s="1541"/>
      <c r="L961" s="1541"/>
      <c r="M961" s="1541"/>
      <c r="N961" s="513"/>
      <c r="O961" s="554"/>
      <c r="P961" s="444" t="str">
        <f t="shared" si="30"/>
        <v/>
      </c>
    </row>
    <row r="962" spans="7:16">
      <c r="G962" s="1540"/>
      <c r="H962"/>
      <c r="I962" s="534"/>
      <c r="J962" s="1541"/>
      <c r="L962" s="1541"/>
      <c r="M962" s="1541"/>
      <c r="N962" s="513"/>
      <c r="O962" s="554"/>
      <c r="P962" s="444" t="str">
        <f t="shared" si="30"/>
        <v/>
      </c>
    </row>
    <row r="963" spans="7:16">
      <c r="G963" s="1540"/>
      <c r="H963"/>
      <c r="I963" s="534"/>
      <c r="J963" s="1541"/>
      <c r="L963" s="1541"/>
      <c r="M963" s="1541"/>
      <c r="N963" s="513"/>
      <c r="O963" s="554"/>
      <c r="P963" s="444" t="str">
        <f t="shared" si="30"/>
        <v/>
      </c>
    </row>
    <row r="964" spans="7:16">
      <c r="G964" s="1540"/>
      <c r="H964"/>
      <c r="I964" s="534"/>
      <c r="J964" s="1541"/>
      <c r="L964" s="1541"/>
      <c r="M964" s="1541"/>
      <c r="N964" s="513"/>
      <c r="O964" s="554"/>
      <c r="P964" s="444" t="str">
        <f t="shared" si="30"/>
        <v/>
      </c>
    </row>
    <row r="965" spans="7:16">
      <c r="G965" s="1540"/>
      <c r="H965"/>
      <c r="I965" s="534"/>
      <c r="J965" s="1541"/>
      <c r="L965" s="1541"/>
      <c r="M965" s="1541"/>
      <c r="N965" s="513"/>
      <c r="O965" s="554"/>
      <c r="P965" s="444" t="str">
        <f t="shared" si="30"/>
        <v/>
      </c>
    </row>
    <row r="966" spans="7:16">
      <c r="G966" s="1540"/>
      <c r="H966"/>
      <c r="I966" s="534"/>
      <c r="J966" s="1541"/>
      <c r="L966" s="1541"/>
      <c r="M966" s="1541"/>
      <c r="N966" s="513"/>
      <c r="O966" s="554"/>
      <c r="P966" s="444" t="str">
        <f t="shared" si="30"/>
        <v/>
      </c>
    </row>
    <row r="967" spans="7:16">
      <c r="G967" s="1540"/>
      <c r="H967"/>
      <c r="I967" s="534"/>
      <c r="J967" s="1541"/>
      <c r="L967" s="1541"/>
      <c r="M967" s="1541"/>
      <c r="N967" s="513"/>
      <c r="O967" s="554"/>
      <c r="P967" s="444" t="str">
        <f t="shared" si="30"/>
        <v/>
      </c>
    </row>
    <row r="968" spans="7:16">
      <c r="G968" s="1540"/>
      <c r="H968"/>
      <c r="I968" s="534"/>
      <c r="J968" s="1541"/>
      <c r="L968" s="1541"/>
      <c r="M968" s="1541"/>
      <c r="N968" s="513"/>
      <c r="O968" s="554"/>
      <c r="P968" s="444" t="str">
        <f t="shared" si="30"/>
        <v/>
      </c>
    </row>
    <row r="969" spans="7:16">
      <c r="G969" s="1540"/>
      <c r="H969"/>
      <c r="I969" s="534"/>
      <c r="J969" s="1541"/>
      <c r="L969" s="1541"/>
      <c r="M969" s="1541"/>
      <c r="N969" s="513"/>
      <c r="O969" s="554"/>
      <c r="P969" s="444" t="str">
        <f t="shared" si="30"/>
        <v/>
      </c>
    </row>
    <row r="970" spans="7:16">
      <c r="G970" s="1540"/>
      <c r="H970"/>
      <c r="I970" s="534"/>
      <c r="J970" s="1541"/>
      <c r="L970" s="1541"/>
      <c r="M970" s="1541"/>
      <c r="N970" s="513"/>
      <c r="O970" s="554"/>
      <c r="P970" s="444" t="str">
        <f t="shared" si="30"/>
        <v/>
      </c>
    </row>
    <row r="971" spans="7:16">
      <c r="G971" s="1540"/>
      <c r="H971"/>
      <c r="I971" s="534"/>
      <c r="J971" s="1541"/>
      <c r="L971" s="1541"/>
      <c r="M971" s="1541"/>
      <c r="N971" s="513"/>
      <c r="O971" s="554"/>
      <c r="P971" s="444" t="str">
        <f t="shared" si="30"/>
        <v/>
      </c>
    </row>
    <row r="972" spans="7:16">
      <c r="G972" s="1540"/>
      <c r="H972"/>
      <c r="I972" s="534"/>
      <c r="J972" s="1541"/>
      <c r="L972" s="1541"/>
      <c r="M972" s="1541"/>
      <c r="N972" s="513"/>
      <c r="O972" s="554"/>
      <c r="P972" s="444" t="str">
        <f t="shared" si="30"/>
        <v/>
      </c>
    </row>
    <row r="973" spans="7:16">
      <c r="G973" s="1540"/>
      <c r="H973"/>
      <c r="I973" s="534"/>
      <c r="J973" s="1541"/>
      <c r="L973" s="1541"/>
      <c r="M973" s="1541"/>
      <c r="N973" s="513"/>
      <c r="O973" s="554"/>
      <c r="P973" s="444" t="str">
        <f t="shared" ref="P973:P1011" si="31">IFERROR(INDEX($A$12:$A$36,MATCH($N973,$D$12:$D$36,0)),"")</f>
        <v/>
      </c>
    </row>
    <row r="974" spans="7:16">
      <c r="G974" s="1540"/>
      <c r="H974"/>
      <c r="I974" s="534"/>
      <c r="J974" s="1541"/>
      <c r="L974" s="1541"/>
      <c r="M974" s="1541"/>
      <c r="N974" s="513"/>
      <c r="O974" s="554"/>
      <c r="P974" s="444" t="str">
        <f t="shared" si="31"/>
        <v/>
      </c>
    </row>
    <row r="975" spans="7:16">
      <c r="G975" s="1540"/>
      <c r="H975"/>
      <c r="I975" s="534"/>
      <c r="J975" s="1541"/>
      <c r="L975" s="1541"/>
      <c r="M975" s="1541"/>
      <c r="N975" s="513"/>
      <c r="O975" s="554"/>
      <c r="P975" s="444" t="str">
        <f t="shared" si="31"/>
        <v/>
      </c>
    </row>
    <row r="976" spans="7:16">
      <c r="G976" s="1540"/>
      <c r="H976"/>
      <c r="I976" s="534"/>
      <c r="J976" s="1541"/>
      <c r="L976" s="1541"/>
      <c r="M976" s="1541"/>
      <c r="N976" s="513"/>
      <c r="O976" s="554"/>
      <c r="P976" s="444" t="str">
        <f t="shared" si="31"/>
        <v/>
      </c>
    </row>
    <row r="977" spans="7:16">
      <c r="G977" s="1540"/>
      <c r="H977"/>
      <c r="I977" s="534"/>
      <c r="J977" s="1541"/>
      <c r="L977" s="1541"/>
      <c r="M977" s="1541"/>
      <c r="N977" s="513"/>
      <c r="O977" s="554"/>
      <c r="P977" s="444" t="str">
        <f t="shared" si="31"/>
        <v/>
      </c>
    </row>
    <row r="978" spans="7:16">
      <c r="G978" s="1540"/>
      <c r="H978"/>
      <c r="I978" s="534"/>
      <c r="J978" s="1541"/>
      <c r="L978" s="1541"/>
      <c r="M978" s="1541"/>
      <c r="N978" s="513"/>
      <c r="O978" s="554"/>
      <c r="P978" s="444" t="str">
        <f t="shared" si="31"/>
        <v/>
      </c>
    </row>
    <row r="979" spans="7:16">
      <c r="G979" s="1540"/>
      <c r="H979"/>
      <c r="I979" s="534"/>
      <c r="J979" s="1541"/>
      <c r="L979" s="1541"/>
      <c r="M979" s="1541"/>
      <c r="N979" s="513"/>
      <c r="O979" s="554"/>
      <c r="P979" s="444" t="str">
        <f t="shared" si="31"/>
        <v/>
      </c>
    </row>
    <row r="980" spans="7:16">
      <c r="G980" s="1540"/>
      <c r="H980"/>
      <c r="I980" s="534"/>
      <c r="J980" s="1541"/>
      <c r="L980" s="1541"/>
      <c r="M980" s="1541"/>
      <c r="N980" s="513"/>
      <c r="O980" s="554"/>
      <c r="P980" s="444" t="str">
        <f t="shared" si="31"/>
        <v/>
      </c>
    </row>
    <row r="981" spans="7:16">
      <c r="G981" s="1540"/>
      <c r="H981"/>
      <c r="I981" s="534"/>
      <c r="J981" s="1541"/>
      <c r="L981" s="1541"/>
      <c r="M981" s="1541"/>
      <c r="N981" s="513"/>
      <c r="O981" s="554"/>
      <c r="P981" s="444" t="str">
        <f t="shared" si="31"/>
        <v/>
      </c>
    </row>
    <row r="982" spans="7:16">
      <c r="G982" s="1540"/>
      <c r="H982"/>
      <c r="I982" s="534"/>
      <c r="J982" s="1541"/>
      <c r="L982" s="1541"/>
      <c r="M982" s="1541"/>
      <c r="N982" s="513"/>
      <c r="O982" s="554"/>
      <c r="P982" s="444" t="str">
        <f t="shared" si="31"/>
        <v/>
      </c>
    </row>
    <row r="983" spans="7:16">
      <c r="G983" s="1540"/>
      <c r="H983"/>
      <c r="I983" s="534"/>
      <c r="J983" s="1541"/>
      <c r="L983" s="1541"/>
      <c r="M983" s="1541"/>
      <c r="N983" s="513"/>
      <c r="O983" s="554"/>
      <c r="P983" s="444" t="str">
        <f t="shared" si="31"/>
        <v/>
      </c>
    </row>
    <row r="984" spans="7:16">
      <c r="G984" s="1540"/>
      <c r="H984"/>
      <c r="I984" s="534"/>
      <c r="J984" s="1541"/>
      <c r="L984" s="1541"/>
      <c r="M984" s="1541"/>
      <c r="N984" s="513"/>
      <c r="O984" s="554"/>
      <c r="P984" s="444" t="str">
        <f t="shared" si="31"/>
        <v/>
      </c>
    </row>
    <row r="985" spans="7:16">
      <c r="G985" s="1540"/>
      <c r="H985"/>
      <c r="I985" s="534"/>
      <c r="J985" s="1541"/>
      <c r="L985" s="1541"/>
      <c r="M985" s="1541"/>
      <c r="N985" s="513"/>
      <c r="O985" s="554"/>
      <c r="P985" s="444" t="str">
        <f t="shared" si="31"/>
        <v/>
      </c>
    </row>
    <row r="986" spans="7:16">
      <c r="G986" s="1540"/>
      <c r="H986"/>
      <c r="I986" s="534"/>
      <c r="J986" s="1541"/>
      <c r="L986" s="1541"/>
      <c r="M986" s="1541"/>
      <c r="N986" s="513"/>
      <c r="O986" s="554"/>
      <c r="P986" s="444" t="str">
        <f t="shared" si="31"/>
        <v/>
      </c>
    </row>
    <row r="987" spans="7:16">
      <c r="G987" s="1540"/>
      <c r="H987"/>
      <c r="I987" s="534"/>
      <c r="J987" s="1541"/>
      <c r="L987" s="1541"/>
      <c r="M987" s="1541"/>
      <c r="N987" s="513"/>
      <c r="O987" s="554"/>
      <c r="P987" s="444" t="str">
        <f t="shared" si="31"/>
        <v/>
      </c>
    </row>
    <row r="988" spans="7:16">
      <c r="G988" s="1540"/>
      <c r="H988"/>
      <c r="I988" s="534"/>
      <c r="J988" s="1541"/>
      <c r="L988" s="1541"/>
      <c r="M988" s="1541"/>
      <c r="N988" s="513"/>
      <c r="O988" s="554"/>
      <c r="P988" s="444" t="str">
        <f t="shared" si="31"/>
        <v/>
      </c>
    </row>
    <row r="989" spans="7:16">
      <c r="G989" s="1540"/>
      <c r="H989"/>
      <c r="I989" s="534"/>
      <c r="J989" s="1541"/>
      <c r="L989" s="1541"/>
      <c r="M989" s="1541"/>
      <c r="N989" s="513"/>
      <c r="O989" s="554"/>
      <c r="P989" s="444" t="str">
        <f t="shared" si="31"/>
        <v/>
      </c>
    </row>
    <row r="990" spans="7:16">
      <c r="G990" s="1540"/>
      <c r="H990"/>
      <c r="I990" s="534"/>
      <c r="J990" s="1541"/>
      <c r="L990" s="1541"/>
      <c r="M990" s="1541"/>
      <c r="N990" s="513"/>
      <c r="O990" s="554"/>
      <c r="P990" s="444" t="str">
        <f t="shared" si="31"/>
        <v/>
      </c>
    </row>
    <row r="991" spans="7:16">
      <c r="G991" s="1540"/>
      <c r="H991"/>
      <c r="I991" s="534"/>
      <c r="J991" s="1541"/>
      <c r="L991" s="1541"/>
      <c r="M991" s="1541"/>
      <c r="N991" s="513"/>
      <c r="O991" s="554"/>
      <c r="P991" s="444" t="str">
        <f t="shared" si="31"/>
        <v/>
      </c>
    </row>
    <row r="992" spans="7:16">
      <c r="G992" s="1540"/>
      <c r="H992"/>
      <c r="I992" s="534"/>
      <c r="J992" s="1541"/>
      <c r="L992" s="1541"/>
      <c r="M992" s="1541"/>
      <c r="N992" s="513"/>
      <c r="O992" s="554"/>
      <c r="P992" s="444" t="str">
        <f t="shared" si="31"/>
        <v/>
      </c>
    </row>
    <row r="993" spans="7:16">
      <c r="G993" s="1540"/>
      <c r="H993"/>
      <c r="I993" s="534"/>
      <c r="J993" s="1541"/>
      <c r="L993" s="1541"/>
      <c r="M993" s="1541"/>
      <c r="N993" s="513"/>
      <c r="O993" s="554"/>
      <c r="P993" s="444" t="str">
        <f t="shared" si="31"/>
        <v/>
      </c>
    </row>
    <row r="994" spans="7:16">
      <c r="G994" s="1540"/>
      <c r="H994"/>
      <c r="I994" s="534"/>
      <c r="J994" s="1541"/>
      <c r="L994" s="1541"/>
      <c r="M994" s="1541"/>
      <c r="N994" s="513"/>
      <c r="O994" s="554"/>
      <c r="P994" s="444" t="str">
        <f t="shared" si="31"/>
        <v/>
      </c>
    </row>
    <row r="995" spans="7:16">
      <c r="G995" s="1540"/>
      <c r="H995"/>
      <c r="I995" s="534"/>
      <c r="J995" s="1541"/>
      <c r="L995" s="1541"/>
      <c r="M995" s="1541"/>
      <c r="N995" s="513"/>
      <c r="O995" s="554"/>
      <c r="P995" s="444" t="str">
        <f t="shared" si="31"/>
        <v/>
      </c>
    </row>
    <row r="996" spans="7:16">
      <c r="G996" s="1540"/>
      <c r="H996"/>
      <c r="I996" s="534"/>
      <c r="J996" s="1541"/>
      <c r="L996" s="1541"/>
      <c r="M996" s="1541"/>
      <c r="N996" s="513"/>
      <c r="O996" s="554"/>
      <c r="P996" s="444" t="str">
        <f t="shared" si="31"/>
        <v/>
      </c>
    </row>
    <row r="997" spans="7:16">
      <c r="G997" s="1540"/>
      <c r="H997"/>
      <c r="I997" s="534"/>
      <c r="J997" s="1541"/>
      <c r="L997" s="1541"/>
      <c r="M997" s="1541"/>
      <c r="N997" s="513"/>
      <c r="O997" s="554"/>
      <c r="P997" s="444" t="str">
        <f t="shared" si="31"/>
        <v/>
      </c>
    </row>
    <row r="998" spans="7:16">
      <c r="G998" s="1540"/>
      <c r="H998"/>
      <c r="I998" s="534"/>
      <c r="J998" s="1541"/>
      <c r="L998" s="1541"/>
      <c r="M998" s="1541"/>
      <c r="N998" s="513"/>
      <c r="O998" s="554"/>
      <c r="P998" s="444" t="str">
        <f t="shared" si="31"/>
        <v/>
      </c>
    </row>
    <row r="999" spans="7:16">
      <c r="G999" s="1540"/>
      <c r="H999"/>
      <c r="I999" s="534"/>
      <c r="J999" s="1541"/>
      <c r="L999" s="1541"/>
      <c r="M999" s="1541"/>
      <c r="N999" s="513"/>
      <c r="O999" s="554"/>
      <c r="P999" s="444" t="str">
        <f t="shared" si="31"/>
        <v/>
      </c>
    </row>
    <row r="1000" spans="7:16">
      <c r="G1000" s="1540"/>
      <c r="H1000"/>
      <c r="I1000" s="534"/>
      <c r="J1000" s="1541"/>
      <c r="L1000" s="1541"/>
      <c r="M1000" s="1541"/>
      <c r="N1000" s="513"/>
      <c r="O1000" s="554"/>
      <c r="P1000" s="444" t="str">
        <f t="shared" si="31"/>
        <v/>
      </c>
    </row>
    <row r="1001" spans="7:16">
      <c r="G1001" s="1540"/>
      <c r="H1001"/>
      <c r="I1001" s="534"/>
      <c r="J1001" s="1541"/>
      <c r="L1001" s="1541"/>
      <c r="M1001" s="1541"/>
      <c r="N1001" s="513"/>
      <c r="O1001" s="554"/>
      <c r="P1001" s="444" t="str">
        <f t="shared" si="31"/>
        <v/>
      </c>
    </row>
    <row r="1002" spans="7:16">
      <c r="G1002" s="1540"/>
      <c r="H1002"/>
      <c r="I1002" s="534"/>
      <c r="J1002" s="1541"/>
      <c r="L1002" s="1541"/>
      <c r="M1002" s="1541"/>
      <c r="N1002" s="513"/>
      <c r="O1002" s="554"/>
      <c r="P1002" s="444" t="str">
        <f t="shared" si="31"/>
        <v/>
      </c>
    </row>
    <row r="1003" spans="7:16">
      <c r="G1003" s="1540"/>
      <c r="H1003"/>
      <c r="I1003" s="534"/>
      <c r="J1003" s="1541"/>
      <c r="L1003" s="1541"/>
      <c r="M1003" s="1541"/>
      <c r="N1003" s="513"/>
      <c r="O1003" s="554"/>
      <c r="P1003" s="444" t="str">
        <f t="shared" si="31"/>
        <v/>
      </c>
    </row>
    <row r="1004" spans="7:16">
      <c r="G1004" s="1540"/>
      <c r="H1004"/>
      <c r="I1004" s="534"/>
      <c r="J1004" s="1541"/>
      <c r="L1004" s="1541"/>
      <c r="M1004" s="1541"/>
      <c r="N1004" s="513"/>
      <c r="O1004" s="554"/>
      <c r="P1004" s="444" t="str">
        <f t="shared" si="31"/>
        <v/>
      </c>
    </row>
    <row r="1005" spans="7:16">
      <c r="G1005" s="1540"/>
      <c r="H1005"/>
      <c r="I1005" s="534"/>
      <c r="J1005" s="1541"/>
      <c r="L1005" s="1541"/>
      <c r="M1005" s="1541"/>
      <c r="N1005" s="513"/>
      <c r="O1005" s="554"/>
      <c r="P1005" s="444" t="str">
        <f t="shared" si="31"/>
        <v/>
      </c>
    </row>
    <row r="1006" spans="7:16">
      <c r="G1006" s="1540"/>
      <c r="H1006"/>
      <c r="I1006" s="534"/>
      <c r="J1006" s="1541"/>
      <c r="L1006" s="1541"/>
      <c r="M1006" s="1541"/>
      <c r="N1006" s="513"/>
      <c r="O1006" s="554"/>
      <c r="P1006" s="444" t="str">
        <f t="shared" si="31"/>
        <v/>
      </c>
    </row>
    <row r="1007" spans="7:16">
      <c r="G1007" s="1540"/>
      <c r="H1007"/>
      <c r="I1007" s="534"/>
      <c r="J1007" s="1541"/>
      <c r="L1007" s="1541"/>
      <c r="M1007" s="1541"/>
      <c r="N1007" s="513"/>
      <c r="O1007" s="554"/>
      <c r="P1007" s="444" t="str">
        <f t="shared" si="31"/>
        <v/>
      </c>
    </row>
    <row r="1008" spans="7:16">
      <c r="G1008" s="1540"/>
      <c r="H1008"/>
      <c r="I1008" s="534"/>
      <c r="J1008" s="1541"/>
      <c r="L1008" s="1541"/>
      <c r="M1008" s="1541"/>
      <c r="N1008" s="513"/>
      <c r="O1008" s="554"/>
      <c r="P1008" s="444" t="str">
        <f t="shared" si="31"/>
        <v/>
      </c>
    </row>
    <row r="1009" spans="7:16">
      <c r="G1009" s="1540"/>
      <c r="H1009"/>
      <c r="I1009" s="534"/>
      <c r="J1009" s="1541"/>
      <c r="L1009" s="1541"/>
      <c r="M1009" s="1541"/>
      <c r="N1009" s="513"/>
      <c r="O1009" s="554"/>
      <c r="P1009" s="444" t="str">
        <f t="shared" si="31"/>
        <v/>
      </c>
    </row>
    <row r="1010" spans="7:16">
      <c r="G1010" s="1540"/>
      <c r="H1010"/>
      <c r="I1010" s="534"/>
      <c r="J1010" s="1541"/>
      <c r="L1010" s="1541"/>
      <c r="M1010" s="1541"/>
      <c r="N1010" s="513"/>
      <c r="O1010" s="554"/>
      <c r="P1010" s="444" t="str">
        <f t="shared" si="31"/>
        <v/>
      </c>
    </row>
    <row r="1011" spans="7:16">
      <c r="G1011" s="1540"/>
      <c r="H1011" s="1542"/>
      <c r="I1011" s="534"/>
      <c r="J1011" s="1541"/>
      <c r="L1011" s="1541"/>
      <c r="M1011" s="1541"/>
      <c r="N1011" s="513"/>
      <c r="O1011" s="554"/>
      <c r="P1011" s="444" t="str">
        <f t="shared" si="31"/>
        <v/>
      </c>
    </row>
  </sheetData>
  <mergeCells count="6">
    <mergeCell ref="N4:O4"/>
    <mergeCell ref="N5:O6"/>
    <mergeCell ref="B10:B11"/>
    <mergeCell ref="C10:C11"/>
    <mergeCell ref="F4:K7"/>
    <mergeCell ref="B4:D6"/>
  </mergeCells>
  <conditionalFormatting sqref="N8">
    <cfRule type="expression" dxfId="73" priority="11">
      <formula>$N$4&lt;&gt;"Total Gross Square Feet"</formula>
    </cfRule>
  </conditionalFormatting>
  <dataValidations count="3">
    <dataValidation type="list" allowBlank="1" showInputMessage="1" showErrorMessage="1" sqref="N4" xr:uid="{00000000-0002-0000-0D00-000000000000}">
      <formula1>"Square Footage by Unit Type,Total Gross Square Feet"</formula1>
    </dataValidation>
    <dataValidation type="list" allowBlank="1" showInputMessage="1" showErrorMessage="1" sqref="I8" xr:uid="{00000000-0002-0000-0D00-000001000000}">
      <formula1>"Yes,No"</formula1>
    </dataValidation>
    <dataValidation type="list" allowBlank="1" showInputMessage="1" showErrorMessage="1" sqref="H12:H38" xr:uid="{DF62F804-8393-49AB-A379-C7D7E2F406F1}">
      <formula1>SubUnitTypeList</formula1>
    </dataValidation>
  </dataValidations>
  <printOptions horizontalCentered="1" verticalCentered="1"/>
  <pageMargins left="0.5" right="0.5" top="1.75" bottom="0.5" header="0" footer="0"/>
  <pageSetup scale="75" fitToHeight="0" orientation="landscape" cellComments="atEnd" r:id="rId1"/>
  <rowBreaks count="1" manualBreakCount="1">
    <brk id="101" max="14" man="1"/>
  </rowBreaks>
  <customProperties>
    <customPr name="GUID"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5" id="{180EF538-F5FC-4C6C-A9E2-A3F9DCF4157B}">
            <xm:f>ROW($F12)&lt;=Input!$B$18+11</xm:f>
            <x14:dxf>
              <border>
                <right style="thin">
                  <color auto="1"/>
                </right>
                <vertical/>
                <horizontal/>
              </border>
            </x14:dxf>
          </x14:cfRule>
          <xm:sqref>O12:O1011</xm:sqref>
        </x14:conditionalFormatting>
        <x14:conditionalFormatting xmlns:xm="http://schemas.microsoft.com/office/excel/2006/main">
          <x14:cfRule type="expression" priority="3" id="{94794484-C517-41A0-AEED-109FF61D0BEF}">
            <xm:f>ROW($F1048574)&lt;=Input!$B$18+11</xm:f>
            <x14:dxf>
              <border>
                <left style="thin">
                  <color auto="1"/>
                </left>
                <vertical/>
                <horizontal/>
              </border>
            </x14:dxf>
          </x14:cfRule>
          <xm:sqref>F12:F1011</xm:sqref>
        </x14:conditionalFormatting>
        <x14:conditionalFormatting xmlns:xm="http://schemas.microsoft.com/office/excel/2006/main">
          <x14:cfRule type="expression" priority="2" id="{14FD7997-1EDA-4525-9E78-9F874FB2BE20}">
            <xm:f>ROW($F12)&lt;=Input!$B$18+11</xm:f>
            <x14:dxf>
              <fill>
                <patternFill>
                  <bgColor rgb="FFFFDFC0"/>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x14:dxf>
          </x14:cfRule>
          <xm:sqref>G12:J1011 L12:M1011</xm:sqref>
        </x14:conditionalFormatting>
        <x14:conditionalFormatting xmlns:xm="http://schemas.microsoft.com/office/excel/2006/main">
          <x14:cfRule type="expression" priority="1" id="{A254CA22-A9AB-4329-828F-AADD41820C63}">
            <xm:f>ROW($F12)=Input!$B$18+11</xm:f>
            <x14:dxf>
              <border>
                <bottom style="thin">
                  <color auto="1"/>
                </bottom>
                <vertical/>
                <horizontal/>
              </border>
            </x14:dxf>
          </x14:cfRule>
          <xm:sqref>F12:O1011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9F3DC-6206-40E4-BD17-0DFCAF92D878}">
  <dimension ref="A1"/>
  <sheetViews>
    <sheetView workbookViewId="0"/>
  </sheetViews>
  <sheetFormatPr defaultRowHeight="12.7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AN910"/>
  <sheetViews>
    <sheetView zoomScaleNormal="100" zoomScalePageLayoutView="140" workbookViewId="0">
      <selection activeCell="E18" sqref="E18"/>
    </sheetView>
  </sheetViews>
  <sheetFormatPr defaultColWidth="8" defaultRowHeight="12.75"/>
  <cols>
    <col min="1" max="1" width="4.42578125" style="236" customWidth="1"/>
    <col min="2" max="2" width="21.42578125" style="236" customWidth="1"/>
    <col min="3" max="3" width="14.42578125" style="236" customWidth="1"/>
    <col min="4" max="4" width="12.5703125" style="236" customWidth="1"/>
    <col min="5" max="5" width="15.42578125" style="236" customWidth="1"/>
    <col min="6" max="12" width="13.42578125" style="236" customWidth="1"/>
    <col min="13" max="13" width="21.85546875" style="236" customWidth="1"/>
    <col min="14" max="14" width="13.42578125" style="236" customWidth="1"/>
    <col min="15" max="15" width="8" style="236"/>
    <col min="16" max="16" width="8.42578125" style="236" bestFit="1" customWidth="1"/>
    <col min="17" max="17" width="11.5703125" style="236" bestFit="1" customWidth="1"/>
    <col min="18" max="19" width="8" style="236"/>
    <col min="20" max="20" width="9" style="236" bestFit="1" customWidth="1"/>
    <col min="21" max="21" width="13.85546875" style="236" bestFit="1" customWidth="1"/>
    <col min="22" max="22" width="11.5703125" style="236" bestFit="1" customWidth="1"/>
    <col min="23" max="23" width="8.42578125" style="236" bestFit="1" customWidth="1"/>
    <col min="24" max="24" width="8" style="236"/>
    <col min="25" max="25" width="8.42578125" style="236" bestFit="1" customWidth="1"/>
    <col min="26" max="26" width="11.5703125" style="236" bestFit="1" customWidth="1"/>
    <col min="27" max="27" width="10.5703125" style="236" customWidth="1"/>
    <col min="28" max="28" width="46.42578125" style="236" hidden="1" customWidth="1"/>
    <col min="29" max="29" width="20.42578125" style="236" bestFit="1" customWidth="1"/>
    <col min="30" max="30" width="5.42578125" style="236" bestFit="1" customWidth="1"/>
    <col min="31" max="31" width="13.42578125" style="236" bestFit="1" customWidth="1"/>
    <col min="32" max="32" width="12.42578125" style="236" bestFit="1" customWidth="1"/>
    <col min="33" max="33" width="15.42578125" style="236" bestFit="1" customWidth="1"/>
    <col min="34" max="34" width="8.5703125" style="236" bestFit="1" customWidth="1"/>
    <col min="35" max="35" width="14.140625" style="236" bestFit="1" customWidth="1"/>
    <col min="36" max="36" width="12.42578125" style="236" bestFit="1" customWidth="1"/>
    <col min="37" max="37" width="21.42578125" style="236" bestFit="1" customWidth="1"/>
    <col min="38" max="39" width="8" style="236" hidden="1" customWidth="1"/>
    <col min="40" max="40" width="0" style="236" hidden="1" customWidth="1"/>
    <col min="41" max="16384" width="8" style="236"/>
  </cols>
  <sheetData>
    <row r="1" spans="1:40" s="273" customFormat="1" ht="18" customHeight="1">
      <c r="A1" s="227" t="str">
        <f>'Rent Roll Summary Input'!A1</f>
        <v>Marcus &amp; Millichap - National Multi Housing Group - Financial Model Version 1.1.0</v>
      </c>
      <c r="B1" s="228"/>
      <c r="C1" s="228"/>
      <c r="D1" s="228"/>
      <c r="E1" s="228"/>
      <c r="F1" s="228"/>
      <c r="G1" s="229"/>
      <c r="H1" s="227" t="str">
        <f>'Rent Roll Summary Input'!Q1</f>
        <v/>
      </c>
      <c r="I1" s="272"/>
    </row>
    <row r="2" spans="1:40" s="275" customFormat="1" ht="3" customHeight="1">
      <c r="A2" s="230"/>
      <c r="B2" s="230"/>
      <c r="C2" s="230"/>
      <c r="D2" s="230"/>
      <c r="E2" s="230"/>
      <c r="F2" s="230"/>
      <c r="G2" s="230"/>
      <c r="H2" s="230"/>
      <c r="I2" s="274"/>
    </row>
    <row r="3" spans="1:40" s="277" customFormat="1" ht="3" customHeight="1">
      <c r="A3" s="231"/>
      <c r="B3" s="231"/>
      <c r="C3" s="231"/>
      <c r="D3" s="231"/>
      <c r="E3" s="231"/>
      <c r="F3" s="231"/>
      <c r="G3" s="231"/>
      <c r="H3" s="231"/>
      <c r="I3" s="276"/>
    </row>
    <row r="5" spans="1:40">
      <c r="A5" s="1057" t="s">
        <v>1614</v>
      </c>
      <c r="B5" s="1111"/>
      <c r="C5" s="1111"/>
      <c r="D5" s="1111"/>
      <c r="E5" s="1111"/>
      <c r="F5" s="1111"/>
      <c r="G5" s="1111"/>
      <c r="H5" s="1111"/>
      <c r="I5" s="1111"/>
      <c r="J5" s="1111"/>
      <c r="K5" s="1111"/>
      <c r="L5" s="1111"/>
      <c r="M5" s="1058"/>
      <c r="O5" s="232" t="s">
        <v>126</v>
      </c>
    </row>
    <row r="6" spans="1:40">
      <c r="A6" s="233"/>
      <c r="O6" s="232" t="s">
        <v>127</v>
      </c>
      <c r="AG6"/>
    </row>
    <row r="7" spans="1:40" ht="12" customHeight="1">
      <c r="A7" s="233"/>
      <c r="E7" s="234" t="str">
        <f>IF(SwitchAcqMethod="Financed - New","New Loan","Assumed Loan")</f>
        <v>New Loan</v>
      </c>
      <c r="F7" s="235"/>
      <c r="G7" s="1170"/>
      <c r="H7" s="235"/>
      <c r="I7" s="1170"/>
      <c r="AC7"/>
      <c r="AD7"/>
      <c r="AE7"/>
      <c r="AG7"/>
      <c r="AH7" s="235"/>
      <c r="AI7"/>
      <c r="AJ7"/>
      <c r="AK7"/>
      <c r="AL7"/>
      <c r="AM7"/>
      <c r="AN7"/>
    </row>
    <row r="8" spans="1:40" hidden="1">
      <c r="A8" s="233"/>
      <c r="B8"/>
      <c r="C8"/>
      <c r="D8"/>
      <c r="E8" s="345"/>
      <c r="F8"/>
      <c r="G8"/>
      <c r="H8"/>
      <c r="I8"/>
      <c r="AC8"/>
      <c r="AD8"/>
      <c r="AE8"/>
      <c r="AG8"/>
      <c r="AH8" s="235"/>
      <c r="AI8"/>
      <c r="AJ8"/>
      <c r="AK8"/>
      <c r="AL8"/>
      <c r="AM8"/>
      <c r="AN8"/>
    </row>
    <row r="9" spans="1:40">
      <c r="B9" s="236" t="s">
        <v>1615</v>
      </c>
      <c r="E9" s="1165"/>
      <c r="G9" s="1097"/>
      <c r="I9" s="1097"/>
      <c r="AC9"/>
      <c r="AD9"/>
      <c r="AE9"/>
      <c r="AG9"/>
      <c r="AI9"/>
      <c r="AJ9"/>
      <c r="AK9"/>
      <c r="AL9"/>
      <c r="AM9"/>
      <c r="AN9"/>
    </row>
    <row r="10" spans="1:40">
      <c r="B10" s="236" t="s">
        <v>1315</v>
      </c>
      <c r="E10" s="1160">
        <f>DATE(YEAR(Input!$B11),MONTH(Input!$B11),DAY(1))</f>
        <v>46054</v>
      </c>
      <c r="G10" s="1160"/>
      <c r="I10" s="1100"/>
      <c r="J10" s="320"/>
      <c r="K10" s="1175"/>
      <c r="L10" s="1172"/>
      <c r="M10" s="1172"/>
      <c r="AC10"/>
      <c r="AD10"/>
      <c r="AE10"/>
      <c r="AG10"/>
      <c r="AI10"/>
      <c r="AJ10"/>
      <c r="AK10"/>
      <c r="AL10"/>
      <c r="AM10"/>
      <c r="AN10"/>
    </row>
    <row r="11" spans="1:40">
      <c r="B11" s="236" t="s">
        <v>1616</v>
      </c>
      <c r="E11" s="1102">
        <v>0.55000000000000004</v>
      </c>
      <c r="F11" s="235"/>
      <c r="G11" s="1098"/>
      <c r="H11" s="235"/>
      <c r="I11" s="337"/>
      <c r="K11" s="1615"/>
      <c r="L11" s="1615"/>
      <c r="M11" s="1615"/>
      <c r="AB11" s="236" t="s">
        <v>912</v>
      </c>
      <c r="AC11"/>
      <c r="AD11"/>
      <c r="AE11"/>
      <c r="AG11"/>
      <c r="AH11" s="235"/>
      <c r="AI11"/>
      <c r="AJ11"/>
      <c r="AK11"/>
      <c r="AL11"/>
      <c r="AM11"/>
      <c r="AN11"/>
    </row>
    <row r="12" spans="1:40">
      <c r="B12" s="236" t="s">
        <v>1617</v>
      </c>
      <c r="E12" s="1161">
        <f>$E$11*Input!$C$9</f>
        <v>5142500</v>
      </c>
      <c r="F12" s="235"/>
      <c r="G12" s="1161"/>
      <c r="H12" s="235"/>
      <c r="I12" s="1161"/>
      <c r="J12" s="237"/>
      <c r="AB12" s="236" t="s">
        <v>1618</v>
      </c>
      <c r="AC12"/>
      <c r="AD12"/>
      <c r="AE12"/>
      <c r="AG12"/>
      <c r="AH12" s="235"/>
      <c r="AI12"/>
      <c r="AJ12"/>
      <c r="AK12"/>
      <c r="AL12"/>
      <c r="AM12"/>
      <c r="AN12"/>
    </row>
    <row r="13" spans="1:40">
      <c r="B13" s="236" t="s">
        <v>10</v>
      </c>
      <c r="E13" s="1166">
        <v>5.7500000000000002E-2</v>
      </c>
      <c r="G13" s="1096"/>
      <c r="I13" s="1096"/>
      <c r="K13" s="1173"/>
      <c r="L13" s="1172"/>
      <c r="AC13"/>
      <c r="AD13"/>
      <c r="AE13"/>
      <c r="AG13"/>
      <c r="AI13"/>
      <c r="AJ13"/>
      <c r="AK13"/>
      <c r="AL13"/>
      <c r="AM13"/>
      <c r="AN13"/>
    </row>
    <row r="14" spans="1:40">
      <c r="B14" s="236" t="s">
        <v>1619</v>
      </c>
      <c r="E14" s="1167">
        <v>3</v>
      </c>
      <c r="G14" s="1171"/>
      <c r="I14" s="1097"/>
      <c r="K14" s="1161"/>
      <c r="L14" s="335"/>
      <c r="M14" s="335"/>
      <c r="AC14"/>
      <c r="AD14"/>
      <c r="AE14"/>
      <c r="AG14"/>
      <c r="AI14"/>
      <c r="AJ14"/>
      <c r="AK14"/>
      <c r="AL14"/>
      <c r="AM14"/>
      <c r="AN14"/>
    </row>
    <row r="15" spans="1:40">
      <c r="B15" s="236" t="s">
        <v>1620</v>
      </c>
      <c r="E15" s="1160">
        <f>IFERROR(IF(E10=0,0,DATE(YEAR($E$10)+$E$14,MONTH($E$10)-1,DAY(1))),0)</f>
        <v>47119</v>
      </c>
      <c r="G15" s="1160"/>
      <c r="I15" s="1160"/>
      <c r="K15" s="335"/>
      <c r="L15" s="335"/>
      <c r="M15" s="529">
        <f>IFERROR(VLOOKUP(DATE(YEAR(I15),MONTH(I15),1),$U$53:$Z$412,6),"")</f>
        <v>0</v>
      </c>
      <c r="AC15"/>
      <c r="AD15"/>
      <c r="AE15"/>
      <c r="AG15"/>
      <c r="AI15"/>
      <c r="AJ15"/>
      <c r="AK15"/>
      <c r="AL15"/>
      <c r="AM15"/>
      <c r="AN15"/>
    </row>
    <row r="16" spans="1:40">
      <c r="B16" s="236" t="str">
        <f>IF(SwitchAcqMethod="Financed - New","Interest Only Period (Months)","Remaining Interest Only Period (Months)")</f>
        <v>Interest Only Period (Months)</v>
      </c>
      <c r="E16" s="1168"/>
      <c r="F16" s="237"/>
      <c r="G16" s="445"/>
      <c r="I16" s="445"/>
      <c r="K16" s="1161"/>
      <c r="L16" s="336"/>
      <c r="M16" s="335"/>
      <c r="AC16"/>
      <c r="AD16"/>
      <c r="AE16"/>
      <c r="AG16"/>
      <c r="AI16"/>
      <c r="AJ16"/>
      <c r="AK16"/>
      <c r="AL16"/>
      <c r="AM16"/>
      <c r="AN16"/>
    </row>
    <row r="17" spans="2:40">
      <c r="B17" s="236" t="s">
        <v>1621</v>
      </c>
      <c r="E17" s="1167">
        <v>30</v>
      </c>
      <c r="G17" s="1037"/>
      <c r="I17" s="1097"/>
      <c r="K17" s="1172"/>
      <c r="L17" s="1174"/>
      <c r="AC17"/>
      <c r="AD17"/>
      <c r="AE17"/>
      <c r="AG17"/>
      <c r="AI17"/>
      <c r="AJ17"/>
      <c r="AK17"/>
      <c r="AL17"/>
      <c r="AM17"/>
      <c r="AN17"/>
    </row>
    <row r="18" spans="2:40">
      <c r="B18" s="236" t="s">
        <v>22</v>
      </c>
      <c r="E18" s="1162">
        <f>IFERROR(PMT(IF(SwitchCompound="Monthly",$E13/12,($E$13/2+1)^(2/12)-1),$E17*12,-1)*12,0)</f>
        <v>7.0028742773226349E-2</v>
      </c>
      <c r="G18" s="1162"/>
      <c r="I18" s="1162"/>
      <c r="K18" s="1172"/>
      <c r="L18" s="1101"/>
      <c r="AC18"/>
      <c r="AD18"/>
      <c r="AE18"/>
      <c r="AG18"/>
      <c r="AI18"/>
      <c r="AJ18"/>
      <c r="AK18"/>
      <c r="AL18"/>
      <c r="AM18"/>
      <c r="AN18"/>
    </row>
    <row r="19" spans="2:40">
      <c r="B19" s="236" t="s">
        <v>1622</v>
      </c>
      <c r="E19" s="1163">
        <f>IFERROR(E53*12,0)</f>
        <v>-360122.80971131654</v>
      </c>
      <c r="F19" s="323"/>
      <c r="G19" s="1163"/>
      <c r="I19" s="1163"/>
      <c r="AC19"/>
      <c r="AD19"/>
      <c r="AE19"/>
      <c r="AG19"/>
      <c r="AI19"/>
      <c r="AJ19"/>
      <c r="AK19"/>
      <c r="AL19"/>
      <c r="AM19"/>
      <c r="AN19"/>
    </row>
    <row r="20" spans="2:40">
      <c r="B20" s="236" t="s">
        <v>1623</v>
      </c>
      <c r="E20" s="1163">
        <f>Input!$C9-Debt!$E12</f>
        <v>4207500</v>
      </c>
      <c r="G20" s="1163"/>
      <c r="I20" s="1163"/>
      <c r="K20" s="333" t="s">
        <v>1624</v>
      </c>
      <c r="L20" s="334" t="str">
        <f>IF(I12&gt;L15,I12-L15,"")</f>
        <v/>
      </c>
      <c r="AC20"/>
      <c r="AD20"/>
      <c r="AE20"/>
      <c r="AG20"/>
      <c r="AI20"/>
      <c r="AJ20"/>
      <c r="AK20"/>
      <c r="AL20"/>
      <c r="AM20"/>
      <c r="AN20"/>
    </row>
    <row r="21" spans="2:40">
      <c r="B21" s="236" t="s">
        <v>31</v>
      </c>
      <c r="E21" s="1163">
        <f>IFERROR(-FV(IF(SwitchCompound="Monthly",$E13/12,($E$13/2+1)^(2/12)-1),E14*12,E19/12,E12),0)</f>
        <v>4932088.8159426153</v>
      </c>
      <c r="G21" s="1163"/>
      <c r="I21" s="1163"/>
      <c r="AC21"/>
      <c r="AD21"/>
      <c r="AE21"/>
      <c r="AG21"/>
      <c r="AI21"/>
      <c r="AJ21"/>
      <c r="AK21"/>
      <c r="AL21"/>
      <c r="AM21"/>
      <c r="AN21"/>
    </row>
    <row r="22" spans="2:40">
      <c r="B22" s="236" t="s">
        <v>1625</v>
      </c>
      <c r="E22" s="1164">
        <f>IFERROR((YEAR(E15)-YEAR(E10))*12+MONTH(E15)-MONTH(E10)+1,0)</f>
        <v>36</v>
      </c>
      <c r="F22" s="235"/>
      <c r="G22" s="1164"/>
      <c r="H22" s="235"/>
      <c r="I22" s="1164"/>
      <c r="AC22"/>
      <c r="AD22"/>
      <c r="AE22"/>
      <c r="AG22"/>
      <c r="AH22" s="235"/>
      <c r="AI22"/>
      <c r="AJ22"/>
      <c r="AK22"/>
      <c r="AL22"/>
      <c r="AM22"/>
      <c r="AN22"/>
    </row>
    <row r="23" spans="2:40">
      <c r="B23" s="236" t="s">
        <v>1626</v>
      </c>
      <c r="E23" s="1169"/>
      <c r="F23" s="237"/>
      <c r="G23" s="1096"/>
      <c r="I23" s="1096"/>
      <c r="AC23"/>
      <c r="AD23"/>
      <c r="AE23"/>
      <c r="AG23"/>
      <c r="AI23"/>
      <c r="AJ23"/>
      <c r="AK23"/>
      <c r="AL23"/>
      <c r="AM23"/>
      <c r="AN23"/>
    </row>
    <row r="24" spans="2:40">
      <c r="B24" s="236" t="s">
        <v>1319</v>
      </c>
      <c r="E24" s="1103"/>
      <c r="G24" s="1099"/>
      <c r="I24" s="1172"/>
      <c r="AC24"/>
      <c r="AD24"/>
      <c r="AE24"/>
      <c r="AG24"/>
    </row>
    <row r="25" spans="2:40" ht="12.75" customHeight="1">
      <c r="E25" s="332"/>
      <c r="G25" s="311"/>
      <c r="AC25"/>
      <c r="AD25"/>
      <c r="AE25"/>
      <c r="AG25"/>
    </row>
    <row r="26" spans="2:40" ht="12.75" customHeight="1">
      <c r="E26" s="238"/>
      <c r="G26" s="308"/>
      <c r="H26" s="307"/>
      <c r="AG26"/>
    </row>
    <row r="27" spans="2:40" ht="12.75" customHeight="1">
      <c r="B27" s="239" t="s">
        <v>1627</v>
      </c>
      <c r="E27" s="238"/>
      <c r="G27" s="528"/>
    </row>
    <row r="28" spans="2:40" ht="12.75" customHeight="1">
      <c r="C28" s="307"/>
      <c r="E28" s="238"/>
    </row>
    <row r="29" spans="2:40" ht="12.75" customHeight="1">
      <c r="B29" s="1059" t="s">
        <v>1628</v>
      </c>
      <c r="C29" s="1112">
        <f>EDATE(DATE(YEAR(Input!B11)+1,MONTH(Input!B11),DAY(EOMONTH(Input!B11,0))),-1)</f>
        <v>46415</v>
      </c>
      <c r="D29" s="1112">
        <f t="shared" ref="D29:L29" si="0">DATE(YEAR(C29)+1,MONTH(C29),DAY(1))</f>
        <v>46753</v>
      </c>
      <c r="E29" s="1112">
        <f t="shared" si="0"/>
        <v>47119</v>
      </c>
      <c r="F29" s="1112">
        <f t="shared" si="0"/>
        <v>47484</v>
      </c>
      <c r="G29" s="1112">
        <f t="shared" si="0"/>
        <v>47849</v>
      </c>
      <c r="H29" s="1112">
        <f t="shared" si="0"/>
        <v>48214</v>
      </c>
      <c r="I29" s="1112">
        <f t="shared" si="0"/>
        <v>48580</v>
      </c>
      <c r="J29" s="1112">
        <f t="shared" si="0"/>
        <v>48945</v>
      </c>
      <c r="K29" s="1112">
        <f t="shared" si="0"/>
        <v>49310</v>
      </c>
      <c r="L29" s="1112">
        <f t="shared" si="0"/>
        <v>49675</v>
      </c>
    </row>
    <row r="30" spans="2:40" ht="12.75" customHeight="1">
      <c r="B30" s="329" t="str">
        <f>IF(E9="","Unnamed Primary Loan",E9)</f>
        <v>Unnamed Primary Loan</v>
      </c>
      <c r="C30" s="278"/>
      <c r="D30" s="223"/>
      <c r="E30" s="278"/>
      <c r="F30" s="278"/>
      <c r="G30" s="278"/>
      <c r="H30" s="278"/>
      <c r="I30" s="278"/>
      <c r="J30" s="278"/>
      <c r="K30" s="278"/>
      <c r="L30" s="278"/>
    </row>
    <row r="31" spans="2:40" ht="12.75" customHeight="1">
      <c r="B31" s="240" t="s">
        <v>1629</v>
      </c>
      <c r="C31" s="279">
        <f t="shared" ref="C31:L31" si="1">IF(OR(SwitchAcqMethod="Financed - New",SwitchAcqMethod="Financed - Assumed"),IF(C29&lt;=DATE(YEAR($E$15),MONTH($E$15)+12,DAY(1)),SUMIFS($G$53:$G$412,$C$53:$C$412,"&lt;="&amp;C29,$C$53:$C$412,"&gt;"&amp;DATE(YEAR(C29),MONTH(C29)-12,DAY(1)),$C$53:$C$412,"&lt;="&amp;$E$15),""),"")</f>
        <v>-293968.36075500259</v>
      </c>
      <c r="D31" s="279">
        <f t="shared" si="1"/>
        <v>-290062.61325009482</v>
      </c>
      <c r="E31" s="279">
        <f t="shared" si="1"/>
        <v>-285926.27107146877</v>
      </c>
      <c r="F31" s="279">
        <f t="shared" si="1"/>
        <v>0</v>
      </c>
      <c r="G31" s="279" t="str">
        <f t="shared" si="1"/>
        <v/>
      </c>
      <c r="H31" s="279" t="str">
        <f t="shared" si="1"/>
        <v/>
      </c>
      <c r="I31" s="279" t="str">
        <f t="shared" si="1"/>
        <v/>
      </c>
      <c r="J31" s="279" t="str">
        <f t="shared" si="1"/>
        <v/>
      </c>
      <c r="K31" s="279" t="str">
        <f t="shared" si="1"/>
        <v/>
      </c>
      <c r="L31" s="279" t="str">
        <f t="shared" si="1"/>
        <v/>
      </c>
    </row>
    <row r="32" spans="2:40">
      <c r="B32" s="240" t="s">
        <v>1630</v>
      </c>
      <c r="C32" s="279">
        <f t="shared" ref="C32:L32" si="2">IF(OR(SwitchAcqMethod="Financed - New",SwitchAcqMethod="Financed - Assumed"),IF(C29&lt;=DATE(YEAR($E$15),MONTH($E$15)+12,DAY(1)),SUMIFS($F$53:$F$412,$C$53:$C$412,"&lt;="&amp;C29,$C$53:$C$412,"&gt;"&amp;DATE(YEAR(C29),MONTH(C29)-12,DAY(1)),$C$53:$C$412,"&lt;="&amp;DATE(YEAR($E$15),MONTH($E$15),DAY(1))),""),"")</f>
        <v>-66154.448956313965</v>
      </c>
      <c r="D32" s="279">
        <f t="shared" si="2"/>
        <v>-70060.196461221756</v>
      </c>
      <c r="E32" s="279">
        <f t="shared" si="2"/>
        <v>-74196.538639847815</v>
      </c>
      <c r="F32" s="279">
        <f t="shared" si="2"/>
        <v>0</v>
      </c>
      <c r="G32" s="279" t="str">
        <f t="shared" si="2"/>
        <v/>
      </c>
      <c r="H32" s="279" t="str">
        <f t="shared" si="2"/>
        <v/>
      </c>
      <c r="I32" s="279" t="str">
        <f t="shared" si="2"/>
        <v/>
      </c>
      <c r="J32" s="279" t="str">
        <f t="shared" si="2"/>
        <v/>
      </c>
      <c r="K32" s="279" t="str">
        <f t="shared" si="2"/>
        <v/>
      </c>
      <c r="L32" s="279" t="str">
        <f t="shared" si="2"/>
        <v/>
      </c>
      <c r="M32" s="280"/>
      <c r="N32" s="280"/>
      <c r="O32" s="280"/>
    </row>
    <row r="33" spans="2:15" hidden="1">
      <c r="B33" s="330" t="str">
        <f>IF(G9="","Unnamed Mezzanine Loan",G9)</f>
        <v>Unnamed Mezzanine Loan</v>
      </c>
      <c r="C33" s="279"/>
      <c r="D33" s="279"/>
      <c r="E33" s="279"/>
      <c r="F33" s="279"/>
      <c r="G33" s="279"/>
      <c r="H33" s="279"/>
      <c r="I33" s="279"/>
      <c r="J33" s="279"/>
      <c r="K33" s="279"/>
      <c r="L33" s="279"/>
    </row>
    <row r="34" spans="2:15" hidden="1">
      <c r="B34" s="240" t="s">
        <v>1629</v>
      </c>
      <c r="C34" s="279" t="str">
        <f>IF(Input!$B$40="Yes",IF(C29&lt;=DATE(YEAR($G$15),MONTH($G$15)+12,DAY(1)),SUMIFS($P$53:$P$412,$L$53:$L$412,"&lt;="&amp;C29,$L$53:$L$412,"&gt;"&amp;DATE(YEAR(C29),MONTH(C29)-12,DAY(1)),$L$53:$L$412,"&lt;="&amp;$G$15),""),"")</f>
        <v/>
      </c>
      <c r="D34" s="279" t="str">
        <f>IF(Input!$B$40="Yes",IF(D29&lt;=DATE(YEAR($G$15),MONTH($G$15)+12,DAY(1)),SUMIFS($P$53:$P$412,$L$53:$L$412,"&lt;="&amp;D29,$L$53:$L$412,"&gt;"&amp;DATE(YEAR(D29),MONTH(D29)-12,DAY(1)),$L$53:$L$412,"&lt;="&amp;$G$15),""),"")</f>
        <v/>
      </c>
      <c r="E34" s="279" t="str">
        <f>IF(Input!$B$40="Yes",IF(E29&lt;=DATE(YEAR($G$15),MONTH($G$15)+12,DAY(1)),SUMIFS($P$53:$P$412,$L$53:$L$412,"&lt;="&amp;E29,$L$53:$L$412,"&gt;"&amp;DATE(YEAR(E29),MONTH(E29)-12,DAY(1)),$L$53:$L$412,"&lt;="&amp;$G$15),""),"")</f>
        <v/>
      </c>
      <c r="F34" s="279" t="str">
        <f>IF(Input!$B$40="Yes",IF(F29&lt;=DATE(YEAR($G$15),MONTH($G$15)+12,DAY(1)),SUMIFS($P$53:$P$412,$L$53:$L$412,"&lt;="&amp;F29,$L$53:$L$412,"&gt;"&amp;DATE(YEAR(F29),MONTH(F29)-12,DAY(1)),$L$53:$L$412,"&lt;="&amp;$G$15),""),"")</f>
        <v/>
      </c>
      <c r="G34" s="279" t="str">
        <f>IF(Input!$B$40="Yes",IF(G29&lt;=DATE(YEAR($G$15),MONTH($G$15)+12,DAY(1)),SUMIFS($P$53:$P$412,$L$53:$L$412,"&lt;="&amp;G29,$L$53:$L$412,"&gt;"&amp;DATE(YEAR(G29),MONTH(G29)-12,DAY(1)),$L$53:$L$412,"&lt;="&amp;$G$15),""),"")</f>
        <v/>
      </c>
      <c r="H34" s="279" t="str">
        <f>IF(Input!$B$40="Yes",IF(H29&lt;=DATE(YEAR($G$15),MONTH($G$15)+12,DAY(1)),SUMIFS($P$53:$P$412,$L$53:$L$412,"&lt;="&amp;H29,$L$53:$L$412,"&gt;"&amp;DATE(YEAR(H29),MONTH(H29)-12,DAY(1)),$L$53:$L$412,"&lt;="&amp;$G$15),""),"")</f>
        <v/>
      </c>
      <c r="I34" s="279" t="str">
        <f>IF(Input!$B$40="Yes",IF(I29&lt;=DATE(YEAR($G$15),MONTH($G$15)+12,DAY(1)),SUMIFS($P$53:$P$412,$L$53:$L$412,"&lt;="&amp;I29,$L$53:$L$412,"&gt;"&amp;DATE(YEAR(I29),MONTH(I29)-12,DAY(1)),$L$53:$L$412,"&lt;="&amp;$G$15),""),"")</f>
        <v/>
      </c>
      <c r="J34" s="279" t="str">
        <f>IF(Input!$B$40="Yes",IF(J29&lt;=DATE(YEAR($G$15),MONTH($G$15)+12,DAY(1)),SUMIFS($P$53:$P$412,$L$53:$L$412,"&lt;="&amp;J29,$L$53:$L$412,"&gt;"&amp;DATE(YEAR(J29),MONTH(J29)-12,DAY(1)),$L$53:$L$412,"&lt;="&amp;$G$15),""),"")</f>
        <v/>
      </c>
      <c r="K34" s="279" t="str">
        <f>IF(Input!$B$40="Yes",IF(K29&lt;=DATE(YEAR($G$15),MONTH($G$15)+12,DAY(1)),SUMIFS($P$53:$P$412,$L$53:$L$412,"&lt;="&amp;K29,$L$53:$L$412,"&gt;"&amp;DATE(YEAR(K29),MONTH(K29)-12,DAY(1)),$L$53:$L$412,"&lt;="&amp;$G$15),""),"")</f>
        <v/>
      </c>
      <c r="L34" s="279" t="str">
        <f>IF(Input!$B$40="Yes",IF(L29&lt;=DATE(YEAR($G$15),MONTH($G$15)+12,DAY(1)),SUMIFS($P$53:$P$412,$L$53:$L$412,"&lt;="&amp;L29,$L$53:$L$412,"&gt;"&amp;DATE(YEAR(L29),MONTH(L29)-12,DAY(1)),$L$53:$L$412,"&lt;="&amp;$G$15),""),"")</f>
        <v/>
      </c>
    </row>
    <row r="35" spans="2:15" hidden="1">
      <c r="B35" s="240" t="s">
        <v>1630</v>
      </c>
      <c r="C35" s="279" t="str">
        <f>IF(Input!$B$40="Yes",IF(C29&lt;=DATE(YEAR($G$15),MONTH($G$15)+12,DAY(1)),SUMIFS($O$53:$O$412,$L$53:$L$412,"&lt;="&amp;C29,$L$53:$L$412,"&gt;"&amp;DATE(YEAR(C29),MONTH(C29)-12,DAY(1)),$L$53:$L$412,"&lt;="&amp;DATE(YEAR($G$15),MONTH($G$15),DAY(1))),""),"")</f>
        <v/>
      </c>
      <c r="D35" s="279" t="str">
        <f>IF(Input!$B$40="Yes",IF(D29&lt;=DATE(YEAR($G$15),MONTH($G$15)+12,DAY(1)),SUMIFS($O$53:$O$412,$L$53:$L$412,"&lt;="&amp;D29,$L$53:$L$412,"&gt;"&amp;DATE(YEAR(D29),MONTH(D29)-12,DAY(1)),$L$53:$L$412,"&lt;="&amp;DATE(YEAR($G$15),MONTH($G$15),DAY(1))),""),"")</f>
        <v/>
      </c>
      <c r="E35" s="279" t="str">
        <f>IF(Input!$B$40="Yes",IF(E29&lt;=DATE(YEAR($G$15),MONTH($G$15)+12,DAY(1)),SUMIFS($O$53:$O$412,$L$53:$L$412,"&lt;="&amp;E29,$L$53:$L$412,"&gt;"&amp;DATE(YEAR(E29),MONTH(E29)-12,DAY(1)),$L$53:$L$412,"&lt;="&amp;DATE(YEAR($G$15),MONTH($G$15),DAY(1))),""),"")</f>
        <v/>
      </c>
      <c r="F35" s="279" t="str">
        <f>IF(Input!$B$40="Yes",IF(F29&lt;=DATE(YEAR($G$15),MONTH($G$15)+12,DAY(1)),SUMIFS($O$53:$O$412,$L$53:$L$412,"&lt;="&amp;F29,$L$53:$L$412,"&gt;"&amp;DATE(YEAR(F29),MONTH(F29)-12,DAY(1)),$L$53:$L$412,"&lt;="&amp;DATE(YEAR($G$15),MONTH($G$15),DAY(1))),""),"")</f>
        <v/>
      </c>
      <c r="G35" s="279" t="str">
        <f>IF(Input!$B$40="Yes",IF(G29&lt;=DATE(YEAR($G$15),MONTH($G$15)+12,DAY(1)),SUMIFS($O$53:$O$412,$L$53:$L$412,"&lt;="&amp;G29,$L$53:$L$412,"&gt;"&amp;DATE(YEAR(G29),MONTH(G29)-12,DAY(1)),$L$53:$L$412,"&lt;="&amp;DATE(YEAR($G$15),MONTH($G$15),DAY(1))),""),"")</f>
        <v/>
      </c>
      <c r="H35" s="279" t="str">
        <f>IF(Input!$B$40="Yes",IF(H29&lt;=DATE(YEAR($G$15),MONTH($G$15)+12,DAY(1)),SUMIFS($O$53:$O$412,$L$53:$L$412,"&lt;="&amp;H29,$L$53:$L$412,"&gt;"&amp;DATE(YEAR(H29),MONTH(H29)-12,DAY(1)),$L$53:$L$412,"&lt;="&amp;DATE(YEAR($G$15),MONTH($G$15),DAY(1))),""),"")</f>
        <v/>
      </c>
      <c r="I35" s="279" t="str">
        <f>IF(Input!$B$40="Yes",IF(I29&lt;=DATE(YEAR($G$15),MONTH($G$15)+12,DAY(1)),SUMIFS($O$53:$O$412,$L$53:$L$412,"&lt;="&amp;I29,$L$53:$L$412,"&gt;"&amp;DATE(YEAR(I29),MONTH(I29)-12,DAY(1)),$L$53:$L$412,"&lt;="&amp;DATE(YEAR($G$15),MONTH($G$15),DAY(1))),""),"")</f>
        <v/>
      </c>
      <c r="J35" s="279" t="str">
        <f>IF(Input!$B$40="Yes",IF(J29&lt;=DATE(YEAR($G$15),MONTH($G$15)+12,DAY(1)),SUMIFS($O$53:$O$412,$L$53:$L$412,"&lt;="&amp;J29,$L$53:$L$412,"&gt;"&amp;DATE(YEAR(J29),MONTH(J29)-12,DAY(1)),$L$53:$L$412,"&lt;="&amp;DATE(YEAR($G$15),MONTH($G$15),DAY(1))),""),"")</f>
        <v/>
      </c>
      <c r="K35" s="279" t="str">
        <f>IF(Input!$B$40="Yes",IF(K29&lt;=DATE(YEAR($G$15),MONTH($G$15)+12,DAY(1)),SUMIFS($O$53:$O$412,$L$53:$L$412,"&lt;="&amp;K29,$L$53:$L$412,"&gt;"&amp;DATE(YEAR(K29),MONTH(K29)-12,DAY(1)),$L$53:$L$412,"&lt;="&amp;DATE(YEAR($G$15),MONTH($G$15),DAY(1))),""),"")</f>
        <v/>
      </c>
      <c r="L35" s="279" t="str">
        <f>IF(Input!$B$40="Yes",IF(L29&lt;=DATE(YEAR($G$15),MONTH($G$15)+12,DAY(1)),SUMIFS($O$53:$O$412,$L$53:$L$412,"&lt;="&amp;L29,$L$53:$L$412,"&gt;"&amp;DATE(YEAR(L29),MONTH(L29)-12,DAY(1)),$L$53:$L$412,"&lt;="&amp;DATE(YEAR($G$15),MONTH($G$15),DAY(1))),""),"")</f>
        <v/>
      </c>
      <c r="M35" s="280"/>
      <c r="N35" s="280"/>
      <c r="O35" s="280"/>
    </row>
    <row r="36" spans="2:15" hidden="1">
      <c r="B36" s="330" t="str">
        <f>IF(I9="","Unnamed Refi Loan",I9)</f>
        <v>Unnamed Refi Loan</v>
      </c>
      <c r="C36" s="279"/>
      <c r="D36" s="279"/>
      <c r="E36" s="279"/>
      <c r="F36" s="279"/>
      <c r="G36" s="279"/>
      <c r="H36" s="279"/>
      <c r="I36" s="279"/>
      <c r="J36" s="279"/>
      <c r="K36" s="279"/>
      <c r="L36" s="279"/>
    </row>
    <row r="37" spans="2:15" hidden="1">
      <c r="B37" s="240" t="s">
        <v>1629</v>
      </c>
      <c r="C37" s="279" t="str">
        <f>IF(Input!$B$41="Yes",IF(C29&lt;=DATE(YEAR($I$15),MONTH($I$15)+12,DAY(1)),SUMIFS($Y$53:$Y$412,$U$53:$U$412,"&lt;="&amp;C29,$U$53:$U$412,"&gt;"&amp;DATE(YEAR(C29),MONTH(C29)-12,DAY(1)),$U$53:$U$412,"&lt;="&amp;$I$15,$U$53:$U$412,"&gt;="&amp;DATE(YEAR($I$10),MONTH($I$10)+1,DAY(1))),""),"")</f>
        <v/>
      </c>
      <c r="D37" s="279" t="str">
        <f>IF(Input!$B$41="Yes",IF(D29&lt;=DATE(YEAR($I$15),MONTH($I$15)+12,DAY(1)),SUMIFS($Y$53:$Y$412,$U$53:$U$412,"&lt;="&amp;D29,$U$53:$U$412,"&gt;"&amp;DATE(YEAR(D29),MONTH(D29)-12,DAY(1)),$U$53:$U$412,"&lt;="&amp;$I$15,$U$53:$U$412,"&gt;="&amp;DATE(YEAR($I$10),MONTH($I$10)+1,DAY(1))),""),"")</f>
        <v/>
      </c>
      <c r="E37" s="279" t="str">
        <f>IF(Input!$B$41="Yes",IF(E29&lt;=DATE(YEAR($I$15),MONTH($I$15)+12,DAY(1)),SUMIFS($Y$53:$Y$412,$U$53:$U$412,"&lt;="&amp;E29,$U$53:$U$412,"&gt;"&amp;DATE(YEAR(E29),MONTH(E29)-12,DAY(1)),$U$53:$U$412,"&lt;="&amp;$I$15,$U$53:$U$412,"&gt;="&amp;DATE(YEAR($I$10),MONTH($I$10)+1,DAY(1))),""),"")</f>
        <v/>
      </c>
      <c r="F37" s="279" t="str">
        <f>IF(Input!$B$41="Yes",IF(F29&lt;=DATE(YEAR($I$15),MONTH($I$15)+12,DAY(1)),SUMIFS($Y$53:$Y$412,$U$53:$U$412,"&lt;="&amp;F29,$U$53:$U$412,"&gt;"&amp;DATE(YEAR(F29),MONTH(F29)-12,DAY(1)),$U$53:$U$412,"&lt;="&amp;$I$15,$U$53:$U$412,"&gt;="&amp;DATE(YEAR($I$10),MONTH($I$10)+1,DAY(1))),""),"")</f>
        <v/>
      </c>
      <c r="G37" s="279" t="str">
        <f>IF(Input!$B$41="Yes",IF(G29&lt;=DATE(YEAR($I$15),MONTH($I$15)+12,DAY(1)),SUMIFS($Y$53:$Y$412,$U$53:$U$412,"&lt;="&amp;G29,$U$53:$U$412,"&gt;"&amp;DATE(YEAR(G29),MONTH(G29)-12,DAY(1)),$U$53:$U$412,"&lt;="&amp;$I$15,$U$53:$U$412,"&gt;="&amp;DATE(YEAR($I$10),MONTH($I$10)+1,DAY(1))),""),"")</f>
        <v/>
      </c>
      <c r="H37" s="279" t="str">
        <f>IF(Input!$B$41="Yes",IF(H29&lt;=DATE(YEAR($I$15),MONTH($I$15)+12,DAY(1)),SUMIFS($Y$53:$Y$412,$U$53:$U$412,"&lt;="&amp;H29,$U$53:$U$412,"&gt;"&amp;DATE(YEAR(H29),MONTH(H29)-12,DAY(1)),$U$53:$U$412,"&lt;="&amp;$I$15,$U$53:$U$412,"&gt;="&amp;DATE(YEAR($I$10),MONTH($I$10)+1,DAY(1))),""),"")</f>
        <v/>
      </c>
      <c r="I37" s="279" t="str">
        <f>IF(Input!$B$41="Yes",IF(I29&lt;=DATE(YEAR($I$15),MONTH($I$15)+12,DAY(1)),SUMIFS($Y$53:$Y$412,$U$53:$U$412,"&lt;="&amp;I29,$U$53:$U$412,"&gt;"&amp;DATE(YEAR(I29),MONTH(I29)-12,DAY(1)),$U$53:$U$412,"&lt;="&amp;$I$15,$U$53:$U$412,"&gt;="&amp;DATE(YEAR($I$10),MONTH($I$10)+1,DAY(1))),""),"")</f>
        <v/>
      </c>
      <c r="J37" s="279" t="str">
        <f>IF(Input!$B$41="Yes",IF(J29&lt;=DATE(YEAR($I$15),MONTH($I$15)+12,DAY(1)),SUMIFS($Y$53:$Y$412,$U$53:$U$412,"&lt;="&amp;J29,$U$53:$U$412,"&gt;"&amp;DATE(YEAR(J29),MONTH(J29)-12,DAY(1)),$U$53:$U$412,"&lt;="&amp;$I$15,$U$53:$U$412,"&gt;="&amp;DATE(YEAR($I$10),MONTH($I$10)+1,DAY(1))),""),"")</f>
        <v/>
      </c>
      <c r="K37" s="279" t="str">
        <f>IF(Input!$B$41="Yes",IF(K29&lt;=DATE(YEAR($I$15),MONTH($I$15)+12,DAY(1)),SUMIFS($Y$53:$Y$412,$U$53:$U$412,"&lt;="&amp;K29,$U$53:$U$412,"&gt;"&amp;DATE(YEAR(K29),MONTH(K29)-12,DAY(1)),$U$53:$U$412,"&lt;="&amp;$I$15,$U$53:$U$412,"&gt;="&amp;DATE(YEAR($I$10),MONTH($I$10)+1,DAY(1))),""),"")</f>
        <v/>
      </c>
      <c r="L37" s="279" t="str">
        <f>IF(Input!$B$41="Yes",IF(L29&lt;=DATE(YEAR($I$15),MONTH($I$15)+12,DAY(1)),SUMIFS($Y$53:$Y$412,$U$53:$U$412,"&lt;="&amp;L29,$U$53:$U$412,"&gt;"&amp;DATE(YEAR(L29),MONTH(L29)-12,DAY(1)),$U$53:$U$412,"&lt;="&amp;$I$15,$U$53:$U$412,"&gt;="&amp;DATE(YEAR($I$10),MONTH($I$10)+1,DAY(1))),""),"")</f>
        <v/>
      </c>
    </row>
    <row r="38" spans="2:15" hidden="1">
      <c r="B38" s="241" t="s">
        <v>1630</v>
      </c>
      <c r="C38" s="279" t="str">
        <f>IF(Input!$B$41="Yes",IF(C29&lt;=DATE(YEAR($I$15),MONTH($I$15)+12,DAY(1)),SUMIFS($X$53:$X$412,$U$53:$U$412,"&lt;="&amp;C29,$U$53:$U$412,"&gt;"&amp;DATE(YEAR(C29),MONTH(C29)-12,DAY(1)),$U$53:$U$412,"&lt;="&amp;DATE(YEAR($I$15),MONTH($I$15),DAY(1)),$U$53:$U$412,"&gt;="&amp;DATE(YEAR($I$10),MONTH($I$10)+1,DAY(1))),""),"")</f>
        <v/>
      </c>
      <c r="D38" s="279" t="str">
        <f>IF(Input!$B$41="Yes",IF(D29&lt;=DATE(YEAR($I$15),MONTH($I$15)+12,DAY(1)),SUMIFS($X$53:$X$412,$U$53:$U$412,"&lt;="&amp;D29,$U$53:$U$412,"&gt;"&amp;DATE(YEAR(D29),MONTH(D29)-12,DAY(1)),$U$53:$U$412,"&lt;="&amp;DATE(YEAR($I$15),MONTH($I$15),DAY(1)),$U$53:$U$412,"&gt;="&amp;DATE(YEAR($I$10),MONTH($I$10)+1,DAY(1))),""),"")</f>
        <v/>
      </c>
      <c r="E38" s="279" t="str">
        <f>IF(Input!$B$41="Yes",IF(E29&lt;=DATE(YEAR($I$15),MONTH($I$15)+12,DAY(1)),SUMIFS($X$53:$X$412,$U$53:$U$412,"&lt;="&amp;E29,$U$53:$U$412,"&gt;"&amp;DATE(YEAR(E29),MONTH(E29)-12,DAY(1)),$U$53:$U$412,"&lt;="&amp;DATE(YEAR($I$15),MONTH($I$15),DAY(1)),$U$53:$U$412,"&gt;="&amp;DATE(YEAR($I$10),MONTH($I$10)+1,DAY(1))),""),"")</f>
        <v/>
      </c>
      <c r="F38" s="279" t="str">
        <f>IF(Input!$B$41="Yes",IF(F29&lt;=DATE(YEAR($I$15),MONTH($I$15)+12,DAY(1)),SUMIFS($X$53:$X$412,$U$53:$U$412,"&lt;="&amp;F29,$U$53:$U$412,"&gt;"&amp;DATE(YEAR(F29),MONTH(F29)-12,DAY(1)),$U$53:$U$412,"&lt;="&amp;DATE(YEAR($I$15),MONTH($I$15),DAY(1)),$U$53:$U$412,"&gt;="&amp;DATE(YEAR($I$10),MONTH($I$10)+1,DAY(1))),""),"")</f>
        <v/>
      </c>
      <c r="G38" s="279" t="str">
        <f>IF(Input!$B$41="Yes",IF(G29&lt;=DATE(YEAR($I$15),MONTH($I$15)+12,DAY(1)),SUMIFS($X$53:$X$412,$U$53:$U$412,"&lt;="&amp;G29,$U$53:$U$412,"&gt;"&amp;DATE(YEAR(G29),MONTH(G29)-12,DAY(1)),$U$53:$U$412,"&lt;="&amp;DATE(YEAR($I$15),MONTH($I$15),DAY(1)),$U$53:$U$412,"&gt;="&amp;DATE(YEAR($I$10),MONTH($I$10)+1,DAY(1))),""),"")</f>
        <v/>
      </c>
      <c r="H38" s="279" t="str">
        <f>IF(Input!$B$41="Yes",IF(H29&lt;=DATE(YEAR($I$15),MONTH($I$15)+12,DAY(1)),SUMIFS($X$53:$X$412,$U$53:$U$412,"&lt;="&amp;H29,$U$53:$U$412,"&gt;"&amp;DATE(YEAR(H29),MONTH(H29)-12,DAY(1)),$U$53:$U$412,"&lt;="&amp;DATE(YEAR($I$15),MONTH($I$15),DAY(1)),$U$53:$U$412,"&gt;="&amp;DATE(YEAR($I$10),MONTH($I$10)+1,DAY(1))),""),"")</f>
        <v/>
      </c>
      <c r="I38" s="279" t="str">
        <f>IF(Input!$B$41="Yes",IF(I29&lt;=DATE(YEAR($I$15),MONTH($I$15)+12,DAY(1)),SUMIFS($X$53:$X$412,$U$53:$U$412,"&lt;="&amp;I29,$U$53:$U$412,"&gt;"&amp;DATE(YEAR(I29),MONTH(I29)-12,DAY(1)),$U$53:$U$412,"&lt;="&amp;DATE(YEAR($I$15),MONTH($I$15),DAY(1)),$U$53:$U$412,"&gt;="&amp;DATE(YEAR($I$10),MONTH($I$10)+1,DAY(1))),""),"")</f>
        <v/>
      </c>
      <c r="J38" s="279" t="str">
        <f>IF(Input!$B$41="Yes",IF(J29&lt;=DATE(YEAR($I$15),MONTH($I$15)+12,DAY(1)),SUMIFS($X$53:$X$412,$U$53:$U$412,"&lt;="&amp;J29,$U$53:$U$412,"&gt;"&amp;DATE(YEAR(J29),MONTH(J29)-12,DAY(1)),$U$53:$U$412,"&lt;="&amp;DATE(YEAR($I$15),MONTH($I$15),DAY(1)),$U$53:$U$412,"&gt;="&amp;DATE(YEAR($I$10),MONTH($I$10)+1,DAY(1))),""),"")</f>
        <v/>
      </c>
      <c r="K38" s="279" t="str">
        <f>IF(Input!$B$41="Yes",IF(K29&lt;=DATE(YEAR($I$15),MONTH($I$15)+12,DAY(1)),SUMIFS($X$53:$X$412,$U$53:$U$412,"&lt;="&amp;K29,$U$53:$U$412,"&gt;"&amp;DATE(YEAR(K29),MONTH(K29)-12,DAY(1)),$U$53:$U$412,"&lt;="&amp;DATE(YEAR($I$15),MONTH($I$15),DAY(1)),$U$53:$U$412,"&gt;="&amp;DATE(YEAR($I$10),MONTH($I$10)+1,DAY(1))),""),"")</f>
        <v/>
      </c>
      <c r="L38" s="279" t="str">
        <f>IF(Input!$B$41="Yes",IF(L29&lt;=DATE(YEAR($I$15),MONTH($I$15)+12,DAY(1)),SUMIFS($X$53:$X$412,$U$53:$U$412,"&lt;="&amp;L29,$U$53:$U$412,"&gt;"&amp;DATE(YEAR(L29),MONTH(L29)-12,DAY(1)),$U$53:$U$412,"&lt;="&amp;DATE(YEAR($I$15),MONTH($I$15),DAY(1)),$U$53:$U$412,"&gt;="&amp;DATE(YEAR($I$10),MONTH($I$10)+1,DAY(1))),""),"")</f>
        <v/>
      </c>
      <c r="M38" s="280"/>
    </row>
    <row r="39" spans="2:15">
      <c r="B39" s="1113"/>
      <c r="C39" s="1114"/>
      <c r="D39" s="1115"/>
      <c r="E39" s="1114"/>
      <c r="F39" s="1114"/>
      <c r="G39" s="1114"/>
      <c r="H39" s="1114"/>
      <c r="I39" s="1114"/>
      <c r="J39" s="1114"/>
      <c r="K39" s="1114"/>
      <c r="L39" s="1114"/>
    </row>
    <row r="40" spans="2:15">
      <c r="B40" s="242" t="s">
        <v>1631</v>
      </c>
      <c r="C40" s="279">
        <f t="shared" ref="C40:L41" si="3">SUM(C37,C34,C31)</f>
        <v>-293968.36075500259</v>
      </c>
      <c r="D40" s="279">
        <f t="shared" si="3"/>
        <v>-290062.61325009482</v>
      </c>
      <c r="E40" s="279">
        <f t="shared" si="3"/>
        <v>-285926.27107146877</v>
      </c>
      <c r="F40" s="279">
        <f t="shared" si="3"/>
        <v>0</v>
      </c>
      <c r="G40" s="279">
        <f t="shared" si="3"/>
        <v>0</v>
      </c>
      <c r="H40" s="279">
        <f t="shared" si="3"/>
        <v>0</v>
      </c>
      <c r="I40" s="279">
        <f t="shared" si="3"/>
        <v>0</v>
      </c>
      <c r="J40" s="279">
        <f t="shared" si="3"/>
        <v>0</v>
      </c>
      <c r="K40" s="279">
        <f t="shared" si="3"/>
        <v>0</v>
      </c>
      <c r="L40" s="279">
        <f t="shared" si="3"/>
        <v>0</v>
      </c>
    </row>
    <row r="41" spans="2:15" ht="12.75" customHeight="1">
      <c r="B41" s="243" t="s">
        <v>1632</v>
      </c>
      <c r="C41" s="279">
        <f t="shared" si="3"/>
        <v>-66154.448956313965</v>
      </c>
      <c r="D41" s="279">
        <f t="shared" si="3"/>
        <v>-70060.196461221756</v>
      </c>
      <c r="E41" s="279">
        <f t="shared" si="3"/>
        <v>-74196.538639847815</v>
      </c>
      <c r="F41" s="279">
        <f t="shared" si="3"/>
        <v>0</v>
      </c>
      <c r="G41" s="279">
        <f t="shared" si="3"/>
        <v>0</v>
      </c>
      <c r="H41" s="279">
        <f t="shared" si="3"/>
        <v>0</v>
      </c>
      <c r="I41" s="279">
        <f t="shared" si="3"/>
        <v>0</v>
      </c>
      <c r="J41" s="279">
        <f t="shared" si="3"/>
        <v>0</v>
      </c>
      <c r="K41" s="279">
        <f t="shared" si="3"/>
        <v>0</v>
      </c>
      <c r="L41" s="279">
        <f t="shared" si="3"/>
        <v>0</v>
      </c>
    </row>
    <row r="42" spans="2:15" ht="12.75" customHeight="1">
      <c r="B42" s="243" t="s">
        <v>1633</v>
      </c>
      <c r="C42" s="279">
        <f>IFERROR(IF(AND(SwitchRefi="Yes",$Z$413&lt;=C29,$Z$413&gt;DATE(YEAR(C29),MONTH(C29)-12,DAY(1))),$I$12,0),0)</f>
        <v>0</v>
      </c>
      <c r="D42" s="279">
        <f t="shared" ref="D42:L42" si="4">IF(AND(SwitchRefi="Yes",$Z$413&lt;=D29,$Z$413&gt;DATE(YEAR(D29),MONTH(D29)-12,DAY(1))),$I$12,0)</f>
        <v>0</v>
      </c>
      <c r="E42" s="279">
        <f t="shared" si="4"/>
        <v>0</v>
      </c>
      <c r="F42" s="279">
        <f t="shared" si="4"/>
        <v>0</v>
      </c>
      <c r="G42" s="279">
        <f t="shared" si="4"/>
        <v>0</v>
      </c>
      <c r="H42" s="279">
        <f t="shared" si="4"/>
        <v>0</v>
      </c>
      <c r="I42" s="279">
        <f t="shared" si="4"/>
        <v>0</v>
      </c>
      <c r="J42" s="279">
        <f t="shared" si="4"/>
        <v>0</v>
      </c>
      <c r="K42" s="279">
        <f t="shared" si="4"/>
        <v>0</v>
      </c>
      <c r="L42" s="279">
        <f t="shared" si="4"/>
        <v>0</v>
      </c>
    </row>
    <row r="43" spans="2:15" ht="12.75" customHeight="1">
      <c r="B43" s="243" t="s">
        <v>1634</v>
      </c>
      <c r="C43" s="279">
        <f t="shared" ref="C43:L43" si="5">-IF(AND(OR(SwitchAcqMethod="Financed - New",SwitchAcqMethod="Financed - Assumed"),$E$15&lt;=C29,$E$15&gt;DATE(YEAR(C29),MONTH(C29)-12,DAY(1))),$L$15,0)-IF(AND(OR(SwitchAcqMethod="Financed - New",SwitchAcqMethod="Financed - Assumed"),$I$15&lt;=C29,$I$15&gt;DATE(YEAR(C29),MONTH(C29)-12,DAY(1))),$M$15,0)</f>
        <v>0</v>
      </c>
      <c r="D43" s="279">
        <f t="shared" si="5"/>
        <v>0</v>
      </c>
      <c r="E43" s="279">
        <f t="shared" si="5"/>
        <v>0</v>
      </c>
      <c r="F43" s="279">
        <f t="shared" si="5"/>
        <v>0</v>
      </c>
      <c r="G43" s="279">
        <f t="shared" si="5"/>
        <v>0</v>
      </c>
      <c r="H43" s="279">
        <f t="shared" si="5"/>
        <v>0</v>
      </c>
      <c r="I43" s="279">
        <f t="shared" si="5"/>
        <v>0</v>
      </c>
      <c r="J43" s="279">
        <f t="shared" si="5"/>
        <v>0</v>
      </c>
      <c r="K43" s="279">
        <f t="shared" si="5"/>
        <v>0</v>
      </c>
      <c r="L43" s="279">
        <f t="shared" si="5"/>
        <v>0</v>
      </c>
      <c r="M43" s="244"/>
    </row>
    <row r="44" spans="2:15" ht="12.75" customHeight="1">
      <c r="B44" s="243" t="s">
        <v>1635</v>
      </c>
      <c r="C44" s="279">
        <f>IFERROR(-IF(AND(Input!$B$41="Yes",DATE(YEAR($Z$413),MONTH($Z$413),DAY(1))&lt;=C29,DATE(YEAR($Z$413),MONTH($Z$413),DAY(1))&gt;DATE(YEAR(C29),MONTH(C29)-12,DAY(1))),$I$12*$I$23,0),0)</f>
        <v>0</v>
      </c>
      <c r="D44" s="279">
        <f>-IF(AND(Input!$B$41="Yes",DATE(YEAR($Z$413),MONTH($Z$413),DAY(1))&lt;=D29,DATE(YEAR($Z$413),MONTH($Z$413),DAY(1))&gt;DATE(YEAR(D29),MONTH(D29)-12,DAY(1))),$I$12*$I$23,0)</f>
        <v>0</v>
      </c>
      <c r="E44" s="279">
        <f>-IF(AND(Input!$B$41="Yes",DATE(YEAR($Z$413),MONTH($Z$413),DAY(1))&lt;=E29,DATE(YEAR($Z$413),MONTH($Z$413),DAY(1))&gt;DATE(YEAR(E29),MONTH(E29)-12,DAY(1))),$I$12*$I$23,0)</f>
        <v>0</v>
      </c>
      <c r="F44" s="279">
        <f>-IF(AND(Input!$B$41="Yes",DATE(YEAR($Z$413),MONTH($Z$413),DAY(1))&lt;=F29,DATE(YEAR($Z$413),MONTH($Z$413),DAY(1))&gt;DATE(YEAR(F29),MONTH(F29)-12,DAY(1))),$I$12*$I$23,0)</f>
        <v>0</v>
      </c>
      <c r="G44" s="279">
        <f>-IF(AND(Input!$B$41="Yes",DATE(YEAR($Z$413),MONTH($Z$413),DAY(1))&lt;=G29,DATE(YEAR($Z$413),MONTH($Z$413),DAY(1))&gt;DATE(YEAR(G29),MONTH(G29)-12,DAY(1))),$I$12*$I$23,0)</f>
        <v>0</v>
      </c>
      <c r="H44" s="279">
        <f>-IF(AND(Input!$B$41="Yes",DATE(YEAR($Z$413),MONTH($Z$413),DAY(1))&lt;=H29,DATE(YEAR($Z$413),MONTH($Z$413),DAY(1))&gt;DATE(YEAR(H29),MONTH(H29)-12,DAY(1))),$I$12*$I$23,0)</f>
        <v>0</v>
      </c>
      <c r="I44" s="279">
        <f>-IF(AND(Input!$B$41="Yes",DATE(YEAR($Z$413),MONTH($Z$413),DAY(1))&lt;=I29,DATE(YEAR($Z$413),MONTH($Z$413),DAY(1))&gt;DATE(YEAR(I29),MONTH(I29)-12,DAY(1))),$I$12*$I$23,0)</f>
        <v>0</v>
      </c>
      <c r="J44" s="279">
        <f>-IF(AND(Input!$B$41="Yes",DATE(YEAR($Z$413),MONTH($Z$413),DAY(1))&lt;=J29,DATE(YEAR($Z$413),MONTH($Z$413),DAY(1))&gt;DATE(YEAR(J29),MONTH(J29)-12,DAY(1))),$I$12*$I$23,0)</f>
        <v>0</v>
      </c>
      <c r="K44" s="279">
        <f>-IF(AND(Input!$B$41="Yes",DATE(YEAR($Z$413),MONTH($Z$413),DAY(1))&lt;=K29,DATE(YEAR($Z$413),MONTH($Z$413),DAY(1))&gt;DATE(YEAR(K29),MONTH(K29)-12,DAY(1))),$I$12*$I$23,0)</f>
        <v>0</v>
      </c>
      <c r="L44" s="279">
        <f>-IF(AND(Input!$B$41="Yes",DATE(YEAR($Z$413),MONTH($Z$413),DAY(1))&lt;=L29,DATE(YEAR($Z$413),MONTH($Z$413),DAY(1))&gt;DATE(YEAR(L29),MONTH(L29)-12,DAY(1))),$I$12*$I$23,0)</f>
        <v>0</v>
      </c>
    </row>
    <row r="45" spans="2:15" ht="12.75" customHeight="1">
      <c r="B45" s="245" t="s">
        <v>1319</v>
      </c>
      <c r="C45" s="279">
        <f t="shared" ref="C45:L45" si="6">IF(AND(SwitchRefi="Yes",C29&lt;=DATE(YEAR($I$10),MONTH($I$10)+12,DAY(1)),C29&gt;=DATE(YEAR($I$10),MONTH($I$10),DAY(1))),-$AA$53,0)</f>
        <v>0</v>
      </c>
      <c r="D45" s="279">
        <f t="shared" si="6"/>
        <v>0</v>
      </c>
      <c r="E45" s="279">
        <f t="shared" si="6"/>
        <v>0</v>
      </c>
      <c r="F45" s="279">
        <f t="shared" si="6"/>
        <v>0</v>
      </c>
      <c r="G45" s="279">
        <f t="shared" si="6"/>
        <v>0</v>
      </c>
      <c r="H45" s="279">
        <f t="shared" si="6"/>
        <v>0</v>
      </c>
      <c r="I45" s="279">
        <f t="shared" si="6"/>
        <v>0</v>
      </c>
      <c r="J45" s="279">
        <f t="shared" si="6"/>
        <v>0</v>
      </c>
      <c r="K45" s="279">
        <f t="shared" si="6"/>
        <v>0</v>
      </c>
      <c r="L45" s="279">
        <f t="shared" si="6"/>
        <v>0</v>
      </c>
    </row>
    <row r="46" spans="2:15" ht="12.75" customHeight="1">
      <c r="B46" s="1060" t="s">
        <v>1636</v>
      </c>
      <c r="C46" s="1116">
        <f>SUM(C40:C45)</f>
        <v>-360122.80971131654</v>
      </c>
      <c r="D46" s="1116">
        <f t="shared" ref="D46:L46" si="7">SUM(D40:D45)</f>
        <v>-360122.8097113166</v>
      </c>
      <c r="E46" s="1116">
        <f t="shared" si="7"/>
        <v>-360122.8097113166</v>
      </c>
      <c r="F46" s="1116">
        <f t="shared" si="7"/>
        <v>0</v>
      </c>
      <c r="G46" s="1116">
        <f t="shared" si="7"/>
        <v>0</v>
      </c>
      <c r="H46" s="1116">
        <f t="shared" si="7"/>
        <v>0</v>
      </c>
      <c r="I46" s="1116">
        <f t="shared" si="7"/>
        <v>0</v>
      </c>
      <c r="J46" s="1116">
        <f t="shared" si="7"/>
        <v>0</v>
      </c>
      <c r="K46" s="1116">
        <f t="shared" si="7"/>
        <v>0</v>
      </c>
      <c r="L46" s="1116">
        <f t="shared" si="7"/>
        <v>0</v>
      </c>
    </row>
    <row r="47" spans="2:15">
      <c r="E47" s="238"/>
    </row>
    <row r="48" spans="2:15">
      <c r="C48" s="280"/>
      <c r="D48" s="280"/>
      <c r="E48" s="280"/>
      <c r="F48" s="280"/>
      <c r="G48" s="280"/>
      <c r="H48" s="280"/>
      <c r="I48" s="280"/>
      <c r="J48" s="280"/>
      <c r="K48" s="280"/>
      <c r="L48" s="280"/>
    </row>
    <row r="49" spans="1:36" hidden="1">
      <c r="A49" s="239" t="s">
        <v>1637</v>
      </c>
      <c r="E49" s="238"/>
    </row>
    <row r="50" spans="1:36" hidden="1">
      <c r="A50" s="281" t="str">
        <f>E9&amp;" - "&amp;IF(SwitchAcqMethod="Financed - New","New",IF(SwitchAcqMethod="Financed - Assumed","Assumed","Cash"))</f>
        <v xml:space="preserve"> - New</v>
      </c>
      <c r="E50" s="238"/>
      <c r="J50" s="281" t="str">
        <f>G9&amp;" Mezzanine"</f>
        <v xml:space="preserve"> Mezzanine</v>
      </c>
      <c r="N50" s="238"/>
      <c r="S50" s="281" t="str">
        <f>I9&amp;" Refinance"</f>
        <v xml:space="preserve"> Refinance</v>
      </c>
      <c r="W50" s="238"/>
    </row>
    <row r="51" spans="1:36" hidden="1">
      <c r="A51" s="246" t="s">
        <v>1638</v>
      </c>
      <c r="B51" s="247"/>
      <c r="C51" s="247"/>
      <c r="D51" s="247" t="s">
        <v>1639</v>
      </c>
      <c r="E51" s="247"/>
      <c r="F51" s="247"/>
      <c r="G51" s="247"/>
      <c r="H51" s="248" t="s">
        <v>1640</v>
      </c>
      <c r="J51" s="246" t="s">
        <v>1638</v>
      </c>
      <c r="K51" s="247"/>
      <c r="L51" s="247"/>
      <c r="M51" s="247" t="s">
        <v>1639</v>
      </c>
      <c r="N51" s="247"/>
      <c r="O51" s="247"/>
      <c r="P51" s="247"/>
      <c r="Q51" s="248" t="s">
        <v>1640</v>
      </c>
      <c r="S51" s="246" t="s">
        <v>1638</v>
      </c>
      <c r="T51" s="247"/>
      <c r="U51" s="247"/>
      <c r="V51" s="247" t="s">
        <v>1639</v>
      </c>
      <c r="W51" s="247"/>
      <c r="X51" s="247"/>
      <c r="Y51" s="247"/>
      <c r="Z51" s="247" t="s">
        <v>1640</v>
      </c>
      <c r="AA51" s="248" t="s">
        <v>1641</v>
      </c>
      <c r="AC51"/>
      <c r="AD51"/>
      <c r="AE51"/>
      <c r="AF51"/>
      <c r="AG51"/>
      <c r="AH51"/>
      <c r="AI51"/>
      <c r="AJ51"/>
    </row>
    <row r="52" spans="1:36" hidden="1">
      <c r="A52" s="249" t="s">
        <v>1642</v>
      </c>
      <c r="B52" s="250" t="s">
        <v>1643</v>
      </c>
      <c r="C52" s="250" t="s">
        <v>1045</v>
      </c>
      <c r="D52" s="250" t="s">
        <v>1617</v>
      </c>
      <c r="E52" s="250" t="s">
        <v>1644</v>
      </c>
      <c r="F52" s="250" t="s">
        <v>1630</v>
      </c>
      <c r="G52" s="250" t="s">
        <v>1645</v>
      </c>
      <c r="H52" s="251" t="s">
        <v>1617</v>
      </c>
      <c r="J52" s="249" t="s">
        <v>1642</v>
      </c>
      <c r="K52" s="250" t="s">
        <v>1643</v>
      </c>
      <c r="L52" s="250" t="s">
        <v>1045</v>
      </c>
      <c r="M52" s="250" t="s">
        <v>1617</v>
      </c>
      <c r="N52" s="250" t="s">
        <v>1644</v>
      </c>
      <c r="O52" s="250" t="s">
        <v>1630</v>
      </c>
      <c r="P52" s="250" t="s">
        <v>1645</v>
      </c>
      <c r="Q52" s="251" t="s">
        <v>1617</v>
      </c>
      <c r="S52" s="249" t="s">
        <v>1642</v>
      </c>
      <c r="T52" s="250" t="s">
        <v>1643</v>
      </c>
      <c r="U52" s="250" t="s">
        <v>1045</v>
      </c>
      <c r="V52" s="250" t="s">
        <v>1617</v>
      </c>
      <c r="W52" s="250" t="s">
        <v>1644</v>
      </c>
      <c r="X52" s="250" t="s">
        <v>1630</v>
      </c>
      <c r="Y52" s="250" t="s">
        <v>1645</v>
      </c>
      <c r="Z52" s="250" t="s">
        <v>1617</v>
      </c>
      <c r="AA52" s="251" t="s">
        <v>1646</v>
      </c>
      <c r="AC52"/>
      <c r="AD52"/>
      <c r="AE52"/>
      <c r="AF52"/>
      <c r="AG52"/>
      <c r="AH52"/>
      <c r="AI52"/>
      <c r="AJ52"/>
    </row>
    <row r="53" spans="1:36" hidden="1">
      <c r="A53" s="282">
        <v>1</v>
      </c>
      <c r="B53" s="283">
        <f>IF(C53&lt;$C$413,0,1)</f>
        <v>1</v>
      </c>
      <c r="C53" s="284">
        <f>DATE(YEAR(E10),MONTH(E10),DAY(1))</f>
        <v>46054</v>
      </c>
      <c r="D53" s="285">
        <f>IF(SwitchAcqMethod="Financed - New",Debt!E12,Input!B44)</f>
        <v>5142500</v>
      </c>
      <c r="E53" s="285">
        <f>IF(AND(SwitchRefi="Yes",OR(C53=0,C53&gt;=$I$10)),0,IFERROR(PMT(IF(SwitchCompound="Monthly",$E$13/12,($E$13/2+1)^(2/12)-1),E17*12,D53),0))</f>
        <v>-30010.234142609712</v>
      </c>
      <c r="F53" s="285">
        <f t="shared" ref="F53:F116" si="8">IF(AND(SwitchRefi="Yes",OR(C53=0,C53&gt;=$I$10)),0,IFERROR(PPMT(IF(SwitchCompound="Monthly",$E$13/12,($E$13/2+1)^(2/12)-1),B53,$E$17*12,$D$53),0))</f>
        <v>-5369.0883092763752</v>
      </c>
      <c r="G53" s="285">
        <f t="shared" ref="G53:G116" si="9">IF(AND(SwitchRefi="Yes",OR(C53=0,C53&gt;=$I$10)),0,IFERROR(IPMT(IF(SwitchCompound="Monthly",$E$13/12,($E$13/2+1)^(2/12)-1),IF(B53=0,1,B53),$E$17*12,$D$53),0))</f>
        <v>-24641.145833333336</v>
      </c>
      <c r="H53" s="286">
        <f t="shared" ref="H53:H116" si="10">IF(AND(SwitchRefi="Yes",C53&gt;=$I$10),0,D53+F53)</f>
        <v>5137130.9116907241</v>
      </c>
      <c r="J53" s="282">
        <v>1</v>
      </c>
      <c r="K53" s="283">
        <f>IF(L53&lt;$L$413,0,1)</f>
        <v>1</v>
      </c>
      <c r="L53" s="284">
        <f>DATE(YEAR(G10),MONTH(G10),DAY(1))</f>
        <v>1</v>
      </c>
      <c r="M53" s="285">
        <f>G12</f>
        <v>0</v>
      </c>
      <c r="N53" s="285" t="e">
        <f>IF(AND(SwitchRefi="Yes",OR(L53=0,L53&gt;=$I$10)),0,PMT(IF(SwitchCompound="Monthly",G13/12,($G$13/2+1)^(2/12)-1),G17*12,$G$12))</f>
        <v>#NUM!</v>
      </c>
      <c r="O53" s="285">
        <f t="shared" ref="O53:O116" si="11">IF(AND(SwitchRefi="Yes",OR(L53=0,L53&gt;=$I$10)),0,IFERROR(PPMT(IF(SwitchCompound="Monthly",$G$13/12,($G$13/2+1)^(2/12)-1),K53,$G$17*12,$M$53),0))</f>
        <v>0</v>
      </c>
      <c r="P53" s="285">
        <f t="shared" ref="P53:P116" si="12">IF(AND(SwitchRefi="Yes",OR(L53=0,L53&gt;=$I$10)),0,IFERROR(IPMT(IF(SwitchCompound="Monthly",$G$13/12,($G$13/2+1)^(2/12)-1),IF(K53=0,1,K53),$G$17*12,$M$53),0))</f>
        <v>0</v>
      </c>
      <c r="Q53" s="286">
        <f t="shared" ref="Q53:Q116" si="13">IF(AND(SwitchRefi="Yes",L53&gt;=$I$10),0,M53+O53)</f>
        <v>0</v>
      </c>
      <c r="S53" s="282">
        <v>1</v>
      </c>
      <c r="T53" s="283">
        <f>IF(U53&lt;$V$413,0,1)</f>
        <v>1</v>
      </c>
      <c r="U53" s="284">
        <f>DATE(YEAR(I10),MONTH(I10),DAY(1))</f>
        <v>1</v>
      </c>
      <c r="V53" s="285">
        <f>I12</f>
        <v>0</v>
      </c>
      <c r="W53" s="285" t="e">
        <f>PMT(IF(SwitchCompound="Monthly",I13/12,($I$13/2+1)^(2/12)-1),I17*12,$I$12)</f>
        <v>#NUM!</v>
      </c>
      <c r="X53" s="285">
        <f t="shared" ref="X53:X116" si="14">IFERROR(PPMT(IF(SwitchCompound="Monthly",$I$13/12,($I$13/2+1)^(2/12)-1),T53,$I$17*12,$V$53),0)</f>
        <v>0</v>
      </c>
      <c r="Y53" s="285" t="e">
        <f t="shared" ref="Y53:Y116" si="15">IPMT(IF(SwitchCompound="Monthly",$I$13/12,($I$13/2+1)^(2/12)-1),IF(T53=0,1,T53),$I$17*12,$V$53)</f>
        <v>#NUM!</v>
      </c>
      <c r="Z53" s="285">
        <f t="shared" ref="Z53:Z58" si="16">V53+X53</f>
        <v>0</v>
      </c>
      <c r="AA53" s="286">
        <f>IF(U53&lt;DATE(YEAR($E$10)+$E$14,MONTH($E$10)-1,DAY(1)),$E$24+$G$24,0)</f>
        <v>0</v>
      </c>
      <c r="AC53"/>
      <c r="AD53"/>
      <c r="AE53"/>
      <c r="AF53"/>
      <c r="AG53"/>
      <c r="AH53"/>
      <c r="AI53"/>
      <c r="AJ53"/>
    </row>
    <row r="54" spans="1:36" hidden="1">
      <c r="A54" s="287">
        <v>1</v>
      </c>
      <c r="B54" s="288">
        <f>IF(B53=0,IF(C54&lt;$C$413,0,B53+1),IF(C53&gt;=$C$413,B53+1,0))</f>
        <v>2</v>
      </c>
      <c r="C54" s="289">
        <f>EDATE(C53,1)</f>
        <v>46082</v>
      </c>
      <c r="D54" s="290">
        <f t="shared" ref="D54:D117" si="17">IF(AND(SwitchRefi="Yes",C54&gt;=$I$10),0,H53)</f>
        <v>5137130.9116907241</v>
      </c>
      <c r="E54" s="290">
        <f t="shared" ref="E54:E117" si="18">IF(AND(SwitchRefi="Yes",OR(C54=0,C54&gt;=$I$10)),0,$E$53)</f>
        <v>-30010.234142609712</v>
      </c>
      <c r="F54" s="290">
        <f t="shared" si="8"/>
        <v>-5394.8151907583233</v>
      </c>
      <c r="G54" s="290">
        <f t="shared" si="9"/>
        <v>-24615.418951851389</v>
      </c>
      <c r="H54" s="291">
        <f t="shared" si="10"/>
        <v>5131736.0964999655</v>
      </c>
      <c r="J54" s="287">
        <v>1</v>
      </c>
      <c r="K54" s="288">
        <f>IF(K53=0,IF(L54&lt;$L$413,0,K53+1),IF(L53&gt;=$L$413,K53+1,0))</f>
        <v>2</v>
      </c>
      <c r="L54" s="289">
        <f>EDATE(L53,1)</f>
        <v>32</v>
      </c>
      <c r="M54" s="290">
        <f t="shared" ref="M54:M117" si="19">IF(AND(SwitchRefi="Yes",L54&gt;=$I$10),0,Q53)</f>
        <v>0</v>
      </c>
      <c r="N54" s="290" t="e">
        <f t="shared" ref="N54:N117" si="20">IF(AND(SwitchRefi="Yes",OR(L54=0,L54&gt;=$I$10)),0,$N$53)</f>
        <v>#NUM!</v>
      </c>
      <c r="O54" s="290">
        <f t="shared" si="11"/>
        <v>0</v>
      </c>
      <c r="P54" s="290">
        <f t="shared" si="12"/>
        <v>0</v>
      </c>
      <c r="Q54" s="291">
        <f t="shared" si="13"/>
        <v>0</v>
      </c>
      <c r="S54" s="287">
        <v>1</v>
      </c>
      <c r="T54" s="288">
        <f>IF(T53=0,IF(U54&lt;$V$413,0,T53+1),IF(U53&gt;=$V$413,T53+1,0))</f>
        <v>2</v>
      </c>
      <c r="U54" s="289">
        <f>EDATE(U53,1)</f>
        <v>32</v>
      </c>
      <c r="V54" s="290">
        <f>Z53</f>
        <v>0</v>
      </c>
      <c r="W54" s="290" t="e">
        <f>$W$53</f>
        <v>#NUM!</v>
      </c>
      <c r="X54" s="290">
        <f t="shared" si="14"/>
        <v>0</v>
      </c>
      <c r="Y54" s="290" t="e">
        <f t="shared" si="15"/>
        <v>#NUM!</v>
      </c>
      <c r="Z54" s="290">
        <f t="shared" si="16"/>
        <v>0</v>
      </c>
      <c r="AA54" s="291"/>
      <c r="AC54"/>
      <c r="AD54"/>
      <c r="AE54"/>
      <c r="AF54"/>
      <c r="AG54"/>
      <c r="AH54"/>
      <c r="AI54"/>
      <c r="AJ54"/>
    </row>
    <row r="55" spans="1:36" hidden="1">
      <c r="A55" s="292">
        <v>1</v>
      </c>
      <c r="B55" s="293">
        <f t="shared" ref="B55:B118" si="21">IF(B54=0,IF(C55&lt;$C$413,0,B54+1),IF(C54&gt;=$C$413,B54+1,0))</f>
        <v>3</v>
      </c>
      <c r="C55" s="294">
        <f t="shared" ref="C55:C118" si="22">EDATE(C54,1)</f>
        <v>46113</v>
      </c>
      <c r="D55" s="295">
        <f t="shared" si="17"/>
        <v>5131736.0964999655</v>
      </c>
      <c r="E55" s="295">
        <f t="shared" si="18"/>
        <v>-30010.234142609712</v>
      </c>
      <c r="F55" s="295">
        <f t="shared" si="8"/>
        <v>-5420.6653468807071</v>
      </c>
      <c r="G55" s="295">
        <f t="shared" si="9"/>
        <v>-24589.56879572901</v>
      </c>
      <c r="H55" s="296">
        <f t="shared" si="10"/>
        <v>5126315.4311530851</v>
      </c>
      <c r="I55" s="297"/>
      <c r="J55" s="292">
        <v>1</v>
      </c>
      <c r="K55" s="293">
        <f t="shared" ref="K55:K118" si="23">IF(K54=0,IF(L55&lt;$L$413,0,K54+1),IF(L54&gt;=$L$413,K54+1,0))</f>
        <v>3</v>
      </c>
      <c r="L55" s="294">
        <f t="shared" ref="L55:L118" si="24">EDATE(L54,1)</f>
        <v>61</v>
      </c>
      <c r="M55" s="295">
        <f t="shared" si="19"/>
        <v>0</v>
      </c>
      <c r="N55" s="295" t="e">
        <f t="shared" si="20"/>
        <v>#NUM!</v>
      </c>
      <c r="O55" s="295">
        <f t="shared" si="11"/>
        <v>0</v>
      </c>
      <c r="P55" s="295">
        <f t="shared" si="12"/>
        <v>0</v>
      </c>
      <c r="Q55" s="296">
        <f t="shared" si="13"/>
        <v>0</v>
      </c>
      <c r="S55" s="292">
        <v>1</v>
      </c>
      <c r="T55" s="293">
        <f t="shared" ref="T55:T118" si="25">IF(T54=0,IF(U55&lt;$V$413,0,T54+1),IF(U54&gt;=$V$413,T54+1,0))</f>
        <v>3</v>
      </c>
      <c r="U55" s="294">
        <f t="shared" ref="U55:U118" si="26">EDATE(U54,1)</f>
        <v>61</v>
      </c>
      <c r="V55" s="295">
        <f t="shared" ref="V55:V118" si="27">Z54</f>
        <v>0</v>
      </c>
      <c r="W55" s="290" t="e">
        <f t="shared" ref="W55:W118" si="28">$W$53</f>
        <v>#NUM!</v>
      </c>
      <c r="X55" s="295">
        <f t="shared" si="14"/>
        <v>0</v>
      </c>
      <c r="Y55" s="295" t="e">
        <f t="shared" si="15"/>
        <v>#NUM!</v>
      </c>
      <c r="Z55" s="295">
        <f t="shared" si="16"/>
        <v>0</v>
      </c>
      <c r="AA55" s="296"/>
      <c r="AC55"/>
      <c r="AD55"/>
      <c r="AE55"/>
      <c r="AF55"/>
      <c r="AG55"/>
      <c r="AH55"/>
      <c r="AI55"/>
      <c r="AJ55"/>
    </row>
    <row r="56" spans="1:36" hidden="1">
      <c r="A56" s="287">
        <v>1</v>
      </c>
      <c r="B56" s="288">
        <f t="shared" si="21"/>
        <v>4</v>
      </c>
      <c r="C56" s="289">
        <f t="shared" si="22"/>
        <v>46143</v>
      </c>
      <c r="D56" s="290">
        <f t="shared" si="17"/>
        <v>5126315.4311530851</v>
      </c>
      <c r="E56" s="290">
        <f t="shared" si="18"/>
        <v>-30010.234142609712</v>
      </c>
      <c r="F56" s="290">
        <f t="shared" si="8"/>
        <v>-5446.6393683345113</v>
      </c>
      <c r="G56" s="290">
        <f t="shared" si="9"/>
        <v>-24563.594774275203</v>
      </c>
      <c r="H56" s="291">
        <f t="shared" si="10"/>
        <v>5120868.7917847503</v>
      </c>
      <c r="J56" s="287">
        <v>1</v>
      </c>
      <c r="K56" s="288">
        <f t="shared" si="23"/>
        <v>4</v>
      </c>
      <c r="L56" s="289">
        <f t="shared" si="24"/>
        <v>92</v>
      </c>
      <c r="M56" s="290">
        <f t="shared" si="19"/>
        <v>0</v>
      </c>
      <c r="N56" s="290" t="e">
        <f t="shared" si="20"/>
        <v>#NUM!</v>
      </c>
      <c r="O56" s="290">
        <f t="shared" si="11"/>
        <v>0</v>
      </c>
      <c r="P56" s="290">
        <f t="shared" si="12"/>
        <v>0</v>
      </c>
      <c r="Q56" s="291">
        <f t="shared" si="13"/>
        <v>0</v>
      </c>
      <c r="S56" s="287">
        <v>1</v>
      </c>
      <c r="T56" s="288">
        <f t="shared" si="25"/>
        <v>4</v>
      </c>
      <c r="U56" s="289">
        <f t="shared" si="26"/>
        <v>92</v>
      </c>
      <c r="V56" s="290">
        <f t="shared" si="27"/>
        <v>0</v>
      </c>
      <c r="W56" s="290" t="e">
        <f t="shared" si="28"/>
        <v>#NUM!</v>
      </c>
      <c r="X56" s="290">
        <f t="shared" si="14"/>
        <v>0</v>
      </c>
      <c r="Y56" s="290" t="e">
        <f t="shared" si="15"/>
        <v>#NUM!</v>
      </c>
      <c r="Z56" s="290">
        <f t="shared" si="16"/>
        <v>0</v>
      </c>
      <c r="AA56" s="291"/>
      <c r="AC56"/>
      <c r="AD56"/>
      <c r="AE56"/>
      <c r="AF56"/>
      <c r="AG56"/>
      <c r="AH56"/>
      <c r="AI56"/>
      <c r="AJ56"/>
    </row>
    <row r="57" spans="1:36" hidden="1">
      <c r="A57" s="292">
        <v>1</v>
      </c>
      <c r="B57" s="293">
        <f t="shared" si="21"/>
        <v>5</v>
      </c>
      <c r="C57" s="294">
        <f t="shared" si="22"/>
        <v>46174</v>
      </c>
      <c r="D57" s="295">
        <f t="shared" si="17"/>
        <v>5120868.7917847503</v>
      </c>
      <c r="E57" s="295">
        <f t="shared" si="18"/>
        <v>-30010.234142609712</v>
      </c>
      <c r="F57" s="295">
        <f t="shared" si="8"/>
        <v>-5472.7378486411135</v>
      </c>
      <c r="G57" s="295">
        <f t="shared" si="9"/>
        <v>-24537.496293968597</v>
      </c>
      <c r="H57" s="298">
        <f t="shared" si="10"/>
        <v>5115396.0539361089</v>
      </c>
      <c r="J57" s="292">
        <v>1</v>
      </c>
      <c r="K57" s="293">
        <f t="shared" si="23"/>
        <v>5</v>
      </c>
      <c r="L57" s="294">
        <f t="shared" si="24"/>
        <v>122</v>
      </c>
      <c r="M57" s="295">
        <f t="shared" si="19"/>
        <v>0</v>
      </c>
      <c r="N57" s="295" t="e">
        <f t="shared" si="20"/>
        <v>#NUM!</v>
      </c>
      <c r="O57" s="295">
        <f t="shared" si="11"/>
        <v>0</v>
      </c>
      <c r="P57" s="295">
        <f t="shared" si="12"/>
        <v>0</v>
      </c>
      <c r="Q57" s="298">
        <f t="shared" si="13"/>
        <v>0</v>
      </c>
      <c r="S57" s="292">
        <v>1</v>
      </c>
      <c r="T57" s="293">
        <f t="shared" si="25"/>
        <v>5</v>
      </c>
      <c r="U57" s="294">
        <f t="shared" si="26"/>
        <v>122</v>
      </c>
      <c r="V57" s="295">
        <f t="shared" si="27"/>
        <v>0</v>
      </c>
      <c r="W57" s="290" t="e">
        <f t="shared" si="28"/>
        <v>#NUM!</v>
      </c>
      <c r="X57" s="295">
        <f t="shared" si="14"/>
        <v>0</v>
      </c>
      <c r="Y57" s="295" t="e">
        <f t="shared" si="15"/>
        <v>#NUM!</v>
      </c>
      <c r="Z57" s="295">
        <f t="shared" si="16"/>
        <v>0</v>
      </c>
      <c r="AA57" s="298"/>
      <c r="AC57"/>
      <c r="AD57"/>
      <c r="AE57"/>
      <c r="AF57"/>
      <c r="AG57"/>
      <c r="AH57"/>
      <c r="AI57"/>
      <c r="AJ57"/>
    </row>
    <row r="58" spans="1:36" hidden="1">
      <c r="A58" s="287">
        <v>1</v>
      </c>
      <c r="B58" s="288">
        <f t="shared" si="21"/>
        <v>6</v>
      </c>
      <c r="C58" s="289">
        <f t="shared" si="22"/>
        <v>46204</v>
      </c>
      <c r="D58" s="290">
        <f t="shared" si="17"/>
        <v>5115396.0539361089</v>
      </c>
      <c r="E58" s="290">
        <f t="shared" si="18"/>
        <v>-30010.234142609712</v>
      </c>
      <c r="F58" s="290">
        <f t="shared" si="8"/>
        <v>-5498.961384165852</v>
      </c>
      <c r="G58" s="290">
        <f t="shared" si="9"/>
        <v>-24511.272758443858</v>
      </c>
      <c r="H58" s="291">
        <f t="shared" si="10"/>
        <v>5109897.0925519429</v>
      </c>
      <c r="J58" s="287">
        <v>1</v>
      </c>
      <c r="K58" s="288">
        <f t="shared" si="23"/>
        <v>6</v>
      </c>
      <c r="L58" s="289">
        <f t="shared" si="24"/>
        <v>153</v>
      </c>
      <c r="M58" s="290">
        <f t="shared" si="19"/>
        <v>0</v>
      </c>
      <c r="N58" s="290" t="e">
        <f t="shared" si="20"/>
        <v>#NUM!</v>
      </c>
      <c r="O58" s="290">
        <f t="shared" si="11"/>
        <v>0</v>
      </c>
      <c r="P58" s="290">
        <f t="shared" si="12"/>
        <v>0</v>
      </c>
      <c r="Q58" s="291">
        <f t="shared" si="13"/>
        <v>0</v>
      </c>
      <c r="S58" s="287">
        <v>1</v>
      </c>
      <c r="T58" s="288">
        <f t="shared" si="25"/>
        <v>6</v>
      </c>
      <c r="U58" s="289">
        <f t="shared" si="26"/>
        <v>153</v>
      </c>
      <c r="V58" s="290">
        <f t="shared" si="27"/>
        <v>0</v>
      </c>
      <c r="W58" s="290" t="e">
        <f t="shared" si="28"/>
        <v>#NUM!</v>
      </c>
      <c r="X58" s="290">
        <f t="shared" si="14"/>
        <v>0</v>
      </c>
      <c r="Y58" s="290" t="e">
        <f t="shared" si="15"/>
        <v>#NUM!</v>
      </c>
      <c r="Z58" s="290">
        <f t="shared" si="16"/>
        <v>0</v>
      </c>
      <c r="AA58" s="291"/>
      <c r="AC58"/>
      <c r="AD58"/>
      <c r="AE58"/>
      <c r="AF58"/>
      <c r="AG58"/>
      <c r="AH58"/>
      <c r="AI58"/>
      <c r="AJ58"/>
    </row>
    <row r="59" spans="1:36" hidden="1">
      <c r="A59" s="292">
        <v>1</v>
      </c>
      <c r="B59" s="293">
        <f t="shared" si="21"/>
        <v>7</v>
      </c>
      <c r="C59" s="294">
        <f t="shared" si="22"/>
        <v>46235</v>
      </c>
      <c r="D59" s="295">
        <f t="shared" si="17"/>
        <v>5109897.0925519429</v>
      </c>
      <c r="E59" s="295">
        <f t="shared" si="18"/>
        <v>-30010.234142609712</v>
      </c>
      <c r="F59" s="295">
        <f t="shared" si="8"/>
        <v>-5525.3105741316476</v>
      </c>
      <c r="G59" s="295">
        <f t="shared" si="9"/>
        <v>-24484.923568478065</v>
      </c>
      <c r="H59" s="296">
        <f t="shared" si="10"/>
        <v>5104371.7819778109</v>
      </c>
      <c r="J59" s="292">
        <v>1</v>
      </c>
      <c r="K59" s="293">
        <f t="shared" si="23"/>
        <v>7</v>
      </c>
      <c r="L59" s="294">
        <f t="shared" si="24"/>
        <v>183</v>
      </c>
      <c r="M59" s="295">
        <f t="shared" si="19"/>
        <v>0</v>
      </c>
      <c r="N59" s="295" t="e">
        <f t="shared" si="20"/>
        <v>#NUM!</v>
      </c>
      <c r="O59" s="295">
        <f t="shared" si="11"/>
        <v>0</v>
      </c>
      <c r="P59" s="295">
        <f t="shared" si="12"/>
        <v>0</v>
      </c>
      <c r="Q59" s="296">
        <f t="shared" si="13"/>
        <v>0</v>
      </c>
      <c r="S59" s="292">
        <v>1</v>
      </c>
      <c r="T59" s="293">
        <f t="shared" si="25"/>
        <v>7</v>
      </c>
      <c r="U59" s="294">
        <f t="shared" si="26"/>
        <v>183</v>
      </c>
      <c r="V59" s="295">
        <f t="shared" si="27"/>
        <v>0</v>
      </c>
      <c r="W59" s="290" t="e">
        <f t="shared" si="28"/>
        <v>#NUM!</v>
      </c>
      <c r="X59" s="295">
        <f t="shared" si="14"/>
        <v>0</v>
      </c>
      <c r="Y59" s="295" t="e">
        <f t="shared" si="15"/>
        <v>#NUM!</v>
      </c>
      <c r="Z59" s="295">
        <f t="shared" ref="Z59:Z122" si="29">V59+X59</f>
        <v>0</v>
      </c>
      <c r="AA59" s="296"/>
      <c r="AC59"/>
      <c r="AD59"/>
      <c r="AE59"/>
      <c r="AF59"/>
      <c r="AG59"/>
      <c r="AH59"/>
      <c r="AI59"/>
      <c r="AJ59"/>
    </row>
    <row r="60" spans="1:36" hidden="1">
      <c r="A60" s="287">
        <v>1</v>
      </c>
      <c r="B60" s="288">
        <f t="shared" si="21"/>
        <v>8</v>
      </c>
      <c r="C60" s="289">
        <f t="shared" si="22"/>
        <v>46266</v>
      </c>
      <c r="D60" s="290">
        <f t="shared" si="17"/>
        <v>5104371.7819778109</v>
      </c>
      <c r="E60" s="290">
        <f t="shared" si="18"/>
        <v>-30010.234142609712</v>
      </c>
      <c r="F60" s="290">
        <f t="shared" si="8"/>
        <v>-5551.7860206326941</v>
      </c>
      <c r="G60" s="290">
        <f t="shared" si="9"/>
        <v>-24458.448121977017</v>
      </c>
      <c r="H60" s="291">
        <f t="shared" si="10"/>
        <v>5098819.9959571781</v>
      </c>
      <c r="J60" s="287">
        <v>1</v>
      </c>
      <c r="K60" s="288">
        <f t="shared" si="23"/>
        <v>8</v>
      </c>
      <c r="L60" s="289">
        <f t="shared" si="24"/>
        <v>214</v>
      </c>
      <c r="M60" s="290">
        <f t="shared" si="19"/>
        <v>0</v>
      </c>
      <c r="N60" s="290" t="e">
        <f t="shared" si="20"/>
        <v>#NUM!</v>
      </c>
      <c r="O60" s="290">
        <f t="shared" si="11"/>
        <v>0</v>
      </c>
      <c r="P60" s="290">
        <f t="shared" si="12"/>
        <v>0</v>
      </c>
      <c r="Q60" s="291">
        <f t="shared" si="13"/>
        <v>0</v>
      </c>
      <c r="S60" s="287">
        <v>1</v>
      </c>
      <c r="T60" s="288">
        <f t="shared" si="25"/>
        <v>8</v>
      </c>
      <c r="U60" s="289">
        <f t="shared" si="26"/>
        <v>214</v>
      </c>
      <c r="V60" s="290">
        <f t="shared" si="27"/>
        <v>0</v>
      </c>
      <c r="W60" s="290" t="e">
        <f t="shared" si="28"/>
        <v>#NUM!</v>
      </c>
      <c r="X60" s="290">
        <f t="shared" si="14"/>
        <v>0</v>
      </c>
      <c r="Y60" s="290" t="e">
        <f t="shared" si="15"/>
        <v>#NUM!</v>
      </c>
      <c r="Z60" s="290">
        <f t="shared" si="29"/>
        <v>0</v>
      </c>
      <c r="AA60" s="291"/>
      <c r="AC60"/>
      <c r="AD60"/>
      <c r="AE60"/>
      <c r="AF60"/>
      <c r="AG60"/>
      <c r="AH60"/>
      <c r="AI60"/>
      <c r="AJ60"/>
    </row>
    <row r="61" spans="1:36" hidden="1">
      <c r="A61" s="292">
        <v>1</v>
      </c>
      <c r="B61" s="293">
        <f t="shared" si="21"/>
        <v>9</v>
      </c>
      <c r="C61" s="294">
        <f t="shared" si="22"/>
        <v>46296</v>
      </c>
      <c r="D61" s="295">
        <f t="shared" si="17"/>
        <v>5098819.9959571781</v>
      </c>
      <c r="E61" s="295">
        <f t="shared" si="18"/>
        <v>-30010.234142609712</v>
      </c>
      <c r="F61" s="295">
        <f t="shared" si="8"/>
        <v>-5578.3883286482269</v>
      </c>
      <c r="G61" s="295">
        <f t="shared" si="9"/>
        <v>-24431.845813961485</v>
      </c>
      <c r="H61" s="298">
        <f t="shared" si="10"/>
        <v>5093241.6076285299</v>
      </c>
      <c r="J61" s="292">
        <v>1</v>
      </c>
      <c r="K61" s="293">
        <f t="shared" si="23"/>
        <v>9</v>
      </c>
      <c r="L61" s="294">
        <f t="shared" si="24"/>
        <v>245</v>
      </c>
      <c r="M61" s="295">
        <f t="shared" si="19"/>
        <v>0</v>
      </c>
      <c r="N61" s="295" t="e">
        <f t="shared" si="20"/>
        <v>#NUM!</v>
      </c>
      <c r="O61" s="295">
        <f t="shared" si="11"/>
        <v>0</v>
      </c>
      <c r="P61" s="295">
        <f t="shared" si="12"/>
        <v>0</v>
      </c>
      <c r="Q61" s="298">
        <f t="shared" si="13"/>
        <v>0</v>
      </c>
      <c r="S61" s="292">
        <v>1</v>
      </c>
      <c r="T61" s="293">
        <f t="shared" si="25"/>
        <v>9</v>
      </c>
      <c r="U61" s="294">
        <f t="shared" si="26"/>
        <v>245</v>
      </c>
      <c r="V61" s="295">
        <f t="shared" si="27"/>
        <v>0</v>
      </c>
      <c r="W61" s="290" t="e">
        <f t="shared" si="28"/>
        <v>#NUM!</v>
      </c>
      <c r="X61" s="295">
        <f t="shared" si="14"/>
        <v>0</v>
      </c>
      <c r="Y61" s="295" t="e">
        <f t="shared" si="15"/>
        <v>#NUM!</v>
      </c>
      <c r="Z61" s="295">
        <f t="shared" si="29"/>
        <v>0</v>
      </c>
      <c r="AA61" s="298"/>
      <c r="AC61"/>
      <c r="AD61"/>
      <c r="AE61"/>
      <c r="AF61"/>
      <c r="AG61"/>
      <c r="AH61"/>
      <c r="AI61"/>
      <c r="AJ61"/>
    </row>
    <row r="62" spans="1:36" hidden="1">
      <c r="A62" s="287">
        <v>1</v>
      </c>
      <c r="B62" s="288">
        <f t="shared" si="21"/>
        <v>10</v>
      </c>
      <c r="C62" s="289">
        <f t="shared" si="22"/>
        <v>46327</v>
      </c>
      <c r="D62" s="290">
        <f t="shared" si="17"/>
        <v>5093241.6076285299</v>
      </c>
      <c r="E62" s="290">
        <f t="shared" si="18"/>
        <v>-30010.234142609712</v>
      </c>
      <c r="F62" s="290">
        <f t="shared" si="8"/>
        <v>-5605.1181060563322</v>
      </c>
      <c r="G62" s="290">
        <f t="shared" si="9"/>
        <v>-24405.11603655338</v>
      </c>
      <c r="H62" s="291">
        <f t="shared" si="10"/>
        <v>5087636.4895224739</v>
      </c>
      <c r="J62" s="287">
        <v>1</v>
      </c>
      <c r="K62" s="288">
        <f t="shared" si="23"/>
        <v>10</v>
      </c>
      <c r="L62" s="289">
        <f t="shared" si="24"/>
        <v>275</v>
      </c>
      <c r="M62" s="290">
        <f t="shared" si="19"/>
        <v>0</v>
      </c>
      <c r="N62" s="290" t="e">
        <f t="shared" si="20"/>
        <v>#NUM!</v>
      </c>
      <c r="O62" s="290">
        <f t="shared" si="11"/>
        <v>0</v>
      </c>
      <c r="P62" s="290">
        <f t="shared" si="12"/>
        <v>0</v>
      </c>
      <c r="Q62" s="291">
        <f t="shared" si="13"/>
        <v>0</v>
      </c>
      <c r="S62" s="287">
        <v>1</v>
      </c>
      <c r="T62" s="288">
        <f t="shared" si="25"/>
        <v>10</v>
      </c>
      <c r="U62" s="289">
        <f t="shared" si="26"/>
        <v>275</v>
      </c>
      <c r="V62" s="290">
        <f t="shared" si="27"/>
        <v>0</v>
      </c>
      <c r="W62" s="290" t="e">
        <f t="shared" si="28"/>
        <v>#NUM!</v>
      </c>
      <c r="X62" s="290">
        <f t="shared" si="14"/>
        <v>0</v>
      </c>
      <c r="Y62" s="290" t="e">
        <f t="shared" si="15"/>
        <v>#NUM!</v>
      </c>
      <c r="Z62" s="290">
        <f t="shared" si="29"/>
        <v>0</v>
      </c>
      <c r="AA62" s="291"/>
      <c r="AC62"/>
      <c r="AD62"/>
      <c r="AE62"/>
      <c r="AF62"/>
      <c r="AG62"/>
      <c r="AH62"/>
      <c r="AI62"/>
      <c r="AJ62"/>
    </row>
    <row r="63" spans="1:36" hidden="1">
      <c r="A63" s="292">
        <v>1</v>
      </c>
      <c r="B63" s="293">
        <f t="shared" si="21"/>
        <v>11</v>
      </c>
      <c r="C63" s="294">
        <f t="shared" si="22"/>
        <v>46357</v>
      </c>
      <c r="D63" s="295">
        <f t="shared" si="17"/>
        <v>5087636.4895224739</v>
      </c>
      <c r="E63" s="295">
        <f t="shared" si="18"/>
        <v>-30010.234142609712</v>
      </c>
      <c r="F63" s="295">
        <f t="shared" si="8"/>
        <v>-5631.975963647852</v>
      </c>
      <c r="G63" s="295">
        <f t="shared" si="9"/>
        <v>-24378.25817896186</v>
      </c>
      <c r="H63" s="296">
        <f t="shared" si="10"/>
        <v>5082004.5135588264</v>
      </c>
      <c r="J63" s="292">
        <v>1</v>
      </c>
      <c r="K63" s="293">
        <f t="shared" si="23"/>
        <v>11</v>
      </c>
      <c r="L63" s="294">
        <f t="shared" si="24"/>
        <v>306</v>
      </c>
      <c r="M63" s="295">
        <f t="shared" si="19"/>
        <v>0</v>
      </c>
      <c r="N63" s="295" t="e">
        <f t="shared" si="20"/>
        <v>#NUM!</v>
      </c>
      <c r="O63" s="295">
        <f t="shared" si="11"/>
        <v>0</v>
      </c>
      <c r="P63" s="295">
        <f t="shared" si="12"/>
        <v>0</v>
      </c>
      <c r="Q63" s="296">
        <f t="shared" si="13"/>
        <v>0</v>
      </c>
      <c r="S63" s="292">
        <v>1</v>
      </c>
      <c r="T63" s="293">
        <f t="shared" si="25"/>
        <v>11</v>
      </c>
      <c r="U63" s="294">
        <f t="shared" si="26"/>
        <v>306</v>
      </c>
      <c r="V63" s="295">
        <f t="shared" si="27"/>
        <v>0</v>
      </c>
      <c r="W63" s="290" t="e">
        <f t="shared" si="28"/>
        <v>#NUM!</v>
      </c>
      <c r="X63" s="295">
        <f t="shared" si="14"/>
        <v>0</v>
      </c>
      <c r="Y63" s="295" t="e">
        <f t="shared" si="15"/>
        <v>#NUM!</v>
      </c>
      <c r="Z63" s="295">
        <f t="shared" si="29"/>
        <v>0</v>
      </c>
      <c r="AA63" s="296"/>
      <c r="AC63"/>
      <c r="AD63"/>
      <c r="AE63"/>
      <c r="AF63"/>
      <c r="AG63"/>
      <c r="AH63"/>
      <c r="AI63"/>
      <c r="AJ63"/>
    </row>
    <row r="64" spans="1:36" hidden="1">
      <c r="A64" s="287">
        <v>1</v>
      </c>
      <c r="B64" s="288">
        <f t="shared" si="21"/>
        <v>12</v>
      </c>
      <c r="C64" s="289">
        <f t="shared" si="22"/>
        <v>46388</v>
      </c>
      <c r="D64" s="290">
        <f t="shared" si="17"/>
        <v>5082004.5135588264</v>
      </c>
      <c r="E64" s="290">
        <f t="shared" si="18"/>
        <v>-30010.234142609712</v>
      </c>
      <c r="F64" s="290">
        <f t="shared" si="8"/>
        <v>-5658.9625151403316</v>
      </c>
      <c r="G64" s="290">
        <f t="shared" si="9"/>
        <v>-24351.271627469385</v>
      </c>
      <c r="H64" s="291">
        <f t="shared" si="10"/>
        <v>5076345.5510436865</v>
      </c>
      <c r="J64" s="287">
        <v>1</v>
      </c>
      <c r="K64" s="288">
        <f t="shared" si="23"/>
        <v>12</v>
      </c>
      <c r="L64" s="289">
        <f t="shared" si="24"/>
        <v>336</v>
      </c>
      <c r="M64" s="290">
        <f t="shared" si="19"/>
        <v>0</v>
      </c>
      <c r="N64" s="290" t="e">
        <f t="shared" si="20"/>
        <v>#NUM!</v>
      </c>
      <c r="O64" s="290">
        <f t="shared" si="11"/>
        <v>0</v>
      </c>
      <c r="P64" s="290">
        <f t="shared" si="12"/>
        <v>0</v>
      </c>
      <c r="Q64" s="291">
        <f t="shared" si="13"/>
        <v>0</v>
      </c>
      <c r="S64" s="287">
        <v>1</v>
      </c>
      <c r="T64" s="288">
        <f t="shared" si="25"/>
        <v>12</v>
      </c>
      <c r="U64" s="289">
        <f t="shared" si="26"/>
        <v>336</v>
      </c>
      <c r="V64" s="290">
        <f t="shared" si="27"/>
        <v>0</v>
      </c>
      <c r="W64" s="290" t="e">
        <f t="shared" si="28"/>
        <v>#NUM!</v>
      </c>
      <c r="X64" s="290">
        <f t="shared" si="14"/>
        <v>0</v>
      </c>
      <c r="Y64" s="290" t="e">
        <f t="shared" si="15"/>
        <v>#NUM!</v>
      </c>
      <c r="Z64" s="290">
        <f t="shared" si="29"/>
        <v>0</v>
      </c>
      <c r="AA64" s="291"/>
      <c r="AC64"/>
      <c r="AD64"/>
      <c r="AE64"/>
      <c r="AF64"/>
      <c r="AG64"/>
      <c r="AH64"/>
      <c r="AI64"/>
      <c r="AJ64"/>
    </row>
    <row r="65" spans="1:36" hidden="1">
      <c r="A65" s="292">
        <f>A53+1</f>
        <v>2</v>
      </c>
      <c r="B65" s="293">
        <f t="shared" si="21"/>
        <v>13</v>
      </c>
      <c r="C65" s="294">
        <f t="shared" si="22"/>
        <v>46419</v>
      </c>
      <c r="D65" s="295">
        <f t="shared" si="17"/>
        <v>5076345.5510436865</v>
      </c>
      <c r="E65" s="295">
        <f t="shared" si="18"/>
        <v>-30010.234142609712</v>
      </c>
      <c r="F65" s="295">
        <f t="shared" si="8"/>
        <v>-5686.078377192046</v>
      </c>
      <c r="G65" s="295">
        <f t="shared" si="9"/>
        <v>-24324.155765417669</v>
      </c>
      <c r="H65" s="298">
        <f t="shared" si="10"/>
        <v>5070659.4726664945</v>
      </c>
      <c r="J65" s="292">
        <f>J53+1</f>
        <v>2</v>
      </c>
      <c r="K65" s="293">
        <f t="shared" si="23"/>
        <v>13</v>
      </c>
      <c r="L65" s="294">
        <f t="shared" si="24"/>
        <v>367</v>
      </c>
      <c r="M65" s="295">
        <f t="shared" si="19"/>
        <v>0</v>
      </c>
      <c r="N65" s="295" t="e">
        <f t="shared" si="20"/>
        <v>#NUM!</v>
      </c>
      <c r="O65" s="295">
        <f t="shared" si="11"/>
        <v>0</v>
      </c>
      <c r="P65" s="295">
        <f t="shared" si="12"/>
        <v>0</v>
      </c>
      <c r="Q65" s="298">
        <f t="shared" si="13"/>
        <v>0</v>
      </c>
      <c r="S65" s="292">
        <f>S53+1</f>
        <v>2</v>
      </c>
      <c r="T65" s="293">
        <f t="shared" si="25"/>
        <v>13</v>
      </c>
      <c r="U65" s="294">
        <f t="shared" si="26"/>
        <v>367</v>
      </c>
      <c r="V65" s="295">
        <f t="shared" si="27"/>
        <v>0</v>
      </c>
      <c r="W65" s="290" t="e">
        <f t="shared" si="28"/>
        <v>#NUM!</v>
      </c>
      <c r="X65" s="295">
        <f t="shared" si="14"/>
        <v>0</v>
      </c>
      <c r="Y65" s="295" t="e">
        <f t="shared" si="15"/>
        <v>#NUM!</v>
      </c>
      <c r="Z65" s="295">
        <f t="shared" si="29"/>
        <v>0</v>
      </c>
      <c r="AA65" s="298"/>
      <c r="AC65"/>
      <c r="AD65"/>
      <c r="AE65"/>
      <c r="AF65"/>
      <c r="AG65"/>
      <c r="AH65"/>
      <c r="AI65"/>
      <c r="AJ65"/>
    </row>
    <row r="66" spans="1:36" hidden="1">
      <c r="A66" s="287">
        <f t="shared" ref="A66:A129" si="30">A54+1</f>
        <v>2</v>
      </c>
      <c r="B66" s="288">
        <f t="shared" si="21"/>
        <v>14</v>
      </c>
      <c r="C66" s="289">
        <f t="shared" si="22"/>
        <v>46447</v>
      </c>
      <c r="D66" s="290">
        <f t="shared" si="17"/>
        <v>5070659.4726664945</v>
      </c>
      <c r="E66" s="290">
        <f t="shared" si="18"/>
        <v>-30010.234142609712</v>
      </c>
      <c r="F66" s="290">
        <f t="shared" si="8"/>
        <v>-5713.3241694160915</v>
      </c>
      <c r="G66" s="290">
        <f t="shared" si="9"/>
        <v>-24296.909973193622</v>
      </c>
      <c r="H66" s="291">
        <f t="shared" si="10"/>
        <v>5064946.1484970786</v>
      </c>
      <c r="J66" s="287">
        <f t="shared" ref="J66:J129" si="31">J54+1</f>
        <v>2</v>
      </c>
      <c r="K66" s="288">
        <f t="shared" si="23"/>
        <v>14</v>
      </c>
      <c r="L66" s="289">
        <f t="shared" si="24"/>
        <v>398</v>
      </c>
      <c r="M66" s="290">
        <f t="shared" si="19"/>
        <v>0</v>
      </c>
      <c r="N66" s="290" t="e">
        <f t="shared" si="20"/>
        <v>#NUM!</v>
      </c>
      <c r="O66" s="290">
        <f t="shared" si="11"/>
        <v>0</v>
      </c>
      <c r="P66" s="290">
        <f t="shared" si="12"/>
        <v>0</v>
      </c>
      <c r="Q66" s="291">
        <f t="shared" si="13"/>
        <v>0</v>
      </c>
      <c r="S66" s="287">
        <f t="shared" ref="S66:S129" si="32">S54+1</f>
        <v>2</v>
      </c>
      <c r="T66" s="288">
        <f t="shared" si="25"/>
        <v>14</v>
      </c>
      <c r="U66" s="289">
        <f t="shared" si="26"/>
        <v>398</v>
      </c>
      <c r="V66" s="290">
        <f t="shared" si="27"/>
        <v>0</v>
      </c>
      <c r="W66" s="290" t="e">
        <f t="shared" si="28"/>
        <v>#NUM!</v>
      </c>
      <c r="X66" s="290">
        <f t="shared" si="14"/>
        <v>0</v>
      </c>
      <c r="Y66" s="290" t="e">
        <f t="shared" si="15"/>
        <v>#NUM!</v>
      </c>
      <c r="Z66" s="290">
        <f t="shared" si="29"/>
        <v>0</v>
      </c>
      <c r="AA66" s="291"/>
      <c r="AC66"/>
      <c r="AD66"/>
      <c r="AE66"/>
      <c r="AF66"/>
      <c r="AG66"/>
      <c r="AH66"/>
      <c r="AI66"/>
      <c r="AJ66"/>
    </row>
    <row r="67" spans="1:36" hidden="1">
      <c r="A67" s="292">
        <f t="shared" si="30"/>
        <v>2</v>
      </c>
      <c r="B67" s="293">
        <f t="shared" si="21"/>
        <v>15</v>
      </c>
      <c r="C67" s="294">
        <f t="shared" si="22"/>
        <v>46478</v>
      </c>
      <c r="D67" s="295">
        <f t="shared" si="17"/>
        <v>5064946.1484970786</v>
      </c>
      <c r="E67" s="295">
        <f t="shared" si="18"/>
        <v>-30010.234142609712</v>
      </c>
      <c r="F67" s="295">
        <f t="shared" si="8"/>
        <v>-5740.7005143945435</v>
      </c>
      <c r="G67" s="295">
        <f t="shared" si="9"/>
        <v>-24269.533628215169</v>
      </c>
      <c r="H67" s="296">
        <f t="shared" si="10"/>
        <v>5059205.4479826838</v>
      </c>
      <c r="J67" s="292">
        <f t="shared" si="31"/>
        <v>2</v>
      </c>
      <c r="K67" s="293">
        <f t="shared" si="23"/>
        <v>15</v>
      </c>
      <c r="L67" s="294">
        <f t="shared" si="24"/>
        <v>426</v>
      </c>
      <c r="M67" s="295">
        <f t="shared" si="19"/>
        <v>0</v>
      </c>
      <c r="N67" s="295" t="e">
        <f t="shared" si="20"/>
        <v>#NUM!</v>
      </c>
      <c r="O67" s="295">
        <f t="shared" si="11"/>
        <v>0</v>
      </c>
      <c r="P67" s="295">
        <f t="shared" si="12"/>
        <v>0</v>
      </c>
      <c r="Q67" s="296">
        <f t="shared" si="13"/>
        <v>0</v>
      </c>
      <c r="S67" s="292">
        <f t="shared" si="32"/>
        <v>2</v>
      </c>
      <c r="T67" s="293">
        <f t="shared" si="25"/>
        <v>15</v>
      </c>
      <c r="U67" s="294">
        <f t="shared" si="26"/>
        <v>426</v>
      </c>
      <c r="V67" s="295">
        <f t="shared" si="27"/>
        <v>0</v>
      </c>
      <c r="W67" s="290" t="e">
        <f t="shared" si="28"/>
        <v>#NUM!</v>
      </c>
      <c r="X67" s="295">
        <f t="shared" si="14"/>
        <v>0</v>
      </c>
      <c r="Y67" s="295" t="e">
        <f t="shared" si="15"/>
        <v>#NUM!</v>
      </c>
      <c r="Z67" s="295">
        <f t="shared" si="29"/>
        <v>0</v>
      </c>
      <c r="AA67" s="296"/>
      <c r="AC67"/>
      <c r="AD67"/>
      <c r="AE67"/>
      <c r="AF67"/>
      <c r="AG67"/>
      <c r="AH67"/>
      <c r="AI67"/>
      <c r="AJ67"/>
    </row>
    <row r="68" spans="1:36" hidden="1">
      <c r="A68" s="287">
        <f t="shared" si="30"/>
        <v>2</v>
      </c>
      <c r="B68" s="288">
        <f t="shared" si="21"/>
        <v>16</v>
      </c>
      <c r="C68" s="289">
        <f t="shared" si="22"/>
        <v>46508</v>
      </c>
      <c r="D68" s="290">
        <f t="shared" si="17"/>
        <v>5059205.4479826838</v>
      </c>
      <c r="E68" s="290">
        <f t="shared" si="18"/>
        <v>-30010.234142609712</v>
      </c>
      <c r="F68" s="290">
        <f t="shared" si="8"/>
        <v>-5768.2080376926842</v>
      </c>
      <c r="G68" s="290">
        <f t="shared" si="9"/>
        <v>-24242.026104917029</v>
      </c>
      <c r="H68" s="291">
        <f t="shared" si="10"/>
        <v>5053437.2399449907</v>
      </c>
      <c r="J68" s="287">
        <f t="shared" si="31"/>
        <v>2</v>
      </c>
      <c r="K68" s="288">
        <f t="shared" si="23"/>
        <v>16</v>
      </c>
      <c r="L68" s="289">
        <f t="shared" si="24"/>
        <v>457</v>
      </c>
      <c r="M68" s="290">
        <f t="shared" si="19"/>
        <v>0</v>
      </c>
      <c r="N68" s="290" t="e">
        <f t="shared" si="20"/>
        <v>#NUM!</v>
      </c>
      <c r="O68" s="290">
        <f t="shared" si="11"/>
        <v>0</v>
      </c>
      <c r="P68" s="290">
        <f t="shared" si="12"/>
        <v>0</v>
      </c>
      <c r="Q68" s="291">
        <f t="shared" si="13"/>
        <v>0</v>
      </c>
      <c r="S68" s="287">
        <f t="shared" si="32"/>
        <v>2</v>
      </c>
      <c r="T68" s="288">
        <f t="shared" si="25"/>
        <v>16</v>
      </c>
      <c r="U68" s="289">
        <f t="shared" si="26"/>
        <v>457</v>
      </c>
      <c r="V68" s="290">
        <f t="shared" si="27"/>
        <v>0</v>
      </c>
      <c r="W68" s="290" t="e">
        <f t="shared" si="28"/>
        <v>#NUM!</v>
      </c>
      <c r="X68" s="290">
        <f t="shared" si="14"/>
        <v>0</v>
      </c>
      <c r="Y68" s="290" t="e">
        <f t="shared" si="15"/>
        <v>#NUM!</v>
      </c>
      <c r="Z68" s="290">
        <f t="shared" si="29"/>
        <v>0</v>
      </c>
      <c r="AA68" s="291"/>
      <c r="AC68"/>
      <c r="AD68"/>
      <c r="AE68"/>
      <c r="AF68"/>
      <c r="AG68"/>
      <c r="AH68"/>
      <c r="AI68"/>
      <c r="AJ68"/>
    </row>
    <row r="69" spans="1:36" hidden="1">
      <c r="A69" s="292">
        <f t="shared" si="30"/>
        <v>2</v>
      </c>
      <c r="B69" s="293">
        <f t="shared" si="21"/>
        <v>17</v>
      </c>
      <c r="C69" s="294">
        <f t="shared" si="22"/>
        <v>46539</v>
      </c>
      <c r="D69" s="295">
        <f t="shared" si="17"/>
        <v>5053437.2399449907</v>
      </c>
      <c r="E69" s="295">
        <f t="shared" si="18"/>
        <v>-30010.234142609712</v>
      </c>
      <c r="F69" s="295">
        <f t="shared" si="8"/>
        <v>-5795.8473678732944</v>
      </c>
      <c r="G69" s="295">
        <f t="shared" si="9"/>
        <v>-24214.386774736417</v>
      </c>
      <c r="H69" s="298">
        <f t="shared" si="10"/>
        <v>5047641.3925771173</v>
      </c>
      <c r="J69" s="292">
        <f t="shared" si="31"/>
        <v>2</v>
      </c>
      <c r="K69" s="293">
        <f t="shared" si="23"/>
        <v>17</v>
      </c>
      <c r="L69" s="294">
        <f t="shared" si="24"/>
        <v>487</v>
      </c>
      <c r="M69" s="295">
        <f t="shared" si="19"/>
        <v>0</v>
      </c>
      <c r="N69" s="295" t="e">
        <f t="shared" si="20"/>
        <v>#NUM!</v>
      </c>
      <c r="O69" s="295">
        <f t="shared" si="11"/>
        <v>0</v>
      </c>
      <c r="P69" s="295">
        <f t="shared" si="12"/>
        <v>0</v>
      </c>
      <c r="Q69" s="298">
        <f t="shared" si="13"/>
        <v>0</v>
      </c>
      <c r="S69" s="292">
        <f t="shared" si="32"/>
        <v>2</v>
      </c>
      <c r="T69" s="293">
        <f t="shared" si="25"/>
        <v>17</v>
      </c>
      <c r="U69" s="294">
        <f t="shared" si="26"/>
        <v>487</v>
      </c>
      <c r="V69" s="295">
        <f t="shared" si="27"/>
        <v>0</v>
      </c>
      <c r="W69" s="290" t="e">
        <f t="shared" si="28"/>
        <v>#NUM!</v>
      </c>
      <c r="X69" s="295">
        <f t="shared" si="14"/>
        <v>0</v>
      </c>
      <c r="Y69" s="295" t="e">
        <f t="shared" si="15"/>
        <v>#NUM!</v>
      </c>
      <c r="Z69" s="306">
        <f t="shared" si="29"/>
        <v>0</v>
      </c>
      <c r="AA69" s="298"/>
      <c r="AC69"/>
      <c r="AD69"/>
      <c r="AE69"/>
      <c r="AF69"/>
      <c r="AG69"/>
      <c r="AH69"/>
      <c r="AI69"/>
      <c r="AJ69"/>
    </row>
    <row r="70" spans="1:36" hidden="1">
      <c r="A70" s="287">
        <f t="shared" si="30"/>
        <v>2</v>
      </c>
      <c r="B70" s="288">
        <f t="shared" si="21"/>
        <v>18</v>
      </c>
      <c r="C70" s="289">
        <f t="shared" si="22"/>
        <v>46569</v>
      </c>
      <c r="D70" s="290">
        <f t="shared" si="17"/>
        <v>5047641.3925771173</v>
      </c>
      <c r="E70" s="290">
        <f t="shared" si="18"/>
        <v>-30010.234142609712</v>
      </c>
      <c r="F70" s="290">
        <f t="shared" si="8"/>
        <v>-5823.6191365110208</v>
      </c>
      <c r="G70" s="290">
        <f t="shared" si="9"/>
        <v>-24186.615006098695</v>
      </c>
      <c r="H70" s="291">
        <f t="shared" si="10"/>
        <v>5041817.773440606</v>
      </c>
      <c r="J70" s="287">
        <f t="shared" si="31"/>
        <v>2</v>
      </c>
      <c r="K70" s="288">
        <f t="shared" si="23"/>
        <v>18</v>
      </c>
      <c r="L70" s="289">
        <f t="shared" si="24"/>
        <v>518</v>
      </c>
      <c r="M70" s="290">
        <f t="shared" si="19"/>
        <v>0</v>
      </c>
      <c r="N70" s="290" t="e">
        <f t="shared" si="20"/>
        <v>#NUM!</v>
      </c>
      <c r="O70" s="290">
        <f t="shared" si="11"/>
        <v>0</v>
      </c>
      <c r="P70" s="290">
        <f t="shared" si="12"/>
        <v>0</v>
      </c>
      <c r="Q70" s="291">
        <f t="shared" si="13"/>
        <v>0</v>
      </c>
      <c r="S70" s="287">
        <f t="shared" si="32"/>
        <v>2</v>
      </c>
      <c r="T70" s="288">
        <f t="shared" si="25"/>
        <v>18</v>
      </c>
      <c r="U70" s="289">
        <f t="shared" si="26"/>
        <v>518</v>
      </c>
      <c r="V70" s="290">
        <f t="shared" si="27"/>
        <v>0</v>
      </c>
      <c r="W70" s="290" t="e">
        <f t="shared" si="28"/>
        <v>#NUM!</v>
      </c>
      <c r="X70" s="290">
        <f t="shared" si="14"/>
        <v>0</v>
      </c>
      <c r="Y70" s="290" t="e">
        <f t="shared" si="15"/>
        <v>#NUM!</v>
      </c>
      <c r="Z70" s="290">
        <f t="shared" si="29"/>
        <v>0</v>
      </c>
      <c r="AA70" s="291"/>
      <c r="AC70"/>
      <c r="AD70"/>
      <c r="AE70"/>
      <c r="AF70"/>
      <c r="AG70"/>
      <c r="AH70"/>
      <c r="AI70"/>
      <c r="AJ70"/>
    </row>
    <row r="71" spans="1:36" hidden="1">
      <c r="A71" s="292">
        <f t="shared" si="30"/>
        <v>2</v>
      </c>
      <c r="B71" s="293">
        <f t="shared" si="21"/>
        <v>19</v>
      </c>
      <c r="C71" s="294">
        <f t="shared" si="22"/>
        <v>46600</v>
      </c>
      <c r="D71" s="295">
        <f t="shared" si="17"/>
        <v>5041817.773440606</v>
      </c>
      <c r="E71" s="295">
        <f t="shared" si="18"/>
        <v>-30010.234142609712</v>
      </c>
      <c r="F71" s="295">
        <f t="shared" si="8"/>
        <v>-5851.5239782068029</v>
      </c>
      <c r="G71" s="295">
        <f t="shared" si="9"/>
        <v>-24158.71016440291</v>
      </c>
      <c r="H71" s="296">
        <f t="shared" si="10"/>
        <v>5035966.2494623987</v>
      </c>
      <c r="J71" s="292">
        <f t="shared" si="31"/>
        <v>2</v>
      </c>
      <c r="K71" s="293">
        <f t="shared" si="23"/>
        <v>19</v>
      </c>
      <c r="L71" s="294">
        <f t="shared" si="24"/>
        <v>548</v>
      </c>
      <c r="M71" s="295">
        <f t="shared" si="19"/>
        <v>0</v>
      </c>
      <c r="N71" s="295" t="e">
        <f t="shared" si="20"/>
        <v>#NUM!</v>
      </c>
      <c r="O71" s="295">
        <f t="shared" si="11"/>
        <v>0</v>
      </c>
      <c r="P71" s="295">
        <f t="shared" si="12"/>
        <v>0</v>
      </c>
      <c r="Q71" s="296">
        <f t="shared" si="13"/>
        <v>0</v>
      </c>
      <c r="S71" s="292">
        <f t="shared" si="32"/>
        <v>2</v>
      </c>
      <c r="T71" s="293">
        <f t="shared" si="25"/>
        <v>19</v>
      </c>
      <c r="U71" s="294">
        <f t="shared" si="26"/>
        <v>548</v>
      </c>
      <c r="V71" s="295">
        <f t="shared" si="27"/>
        <v>0</v>
      </c>
      <c r="W71" s="290" t="e">
        <f t="shared" si="28"/>
        <v>#NUM!</v>
      </c>
      <c r="X71" s="295">
        <f t="shared" si="14"/>
        <v>0</v>
      </c>
      <c r="Y71" s="295" t="e">
        <f t="shared" si="15"/>
        <v>#NUM!</v>
      </c>
      <c r="Z71" s="295">
        <f t="shared" si="29"/>
        <v>0</v>
      </c>
      <c r="AA71" s="296"/>
      <c r="AC71"/>
      <c r="AD71"/>
      <c r="AE71"/>
      <c r="AF71"/>
      <c r="AG71"/>
      <c r="AH71"/>
      <c r="AI71"/>
      <c r="AJ71"/>
    </row>
    <row r="72" spans="1:36" hidden="1">
      <c r="A72" s="287">
        <f t="shared" si="30"/>
        <v>2</v>
      </c>
      <c r="B72" s="288">
        <f t="shared" si="21"/>
        <v>20</v>
      </c>
      <c r="C72" s="289">
        <f t="shared" si="22"/>
        <v>46631</v>
      </c>
      <c r="D72" s="290">
        <f t="shared" si="17"/>
        <v>5035966.2494623987</v>
      </c>
      <c r="E72" s="290">
        <f t="shared" si="18"/>
        <v>-30010.234142609712</v>
      </c>
      <c r="F72" s="290">
        <f t="shared" si="8"/>
        <v>-5879.5625306023776</v>
      </c>
      <c r="G72" s="290">
        <f t="shared" si="9"/>
        <v>-24130.671612007332</v>
      </c>
      <c r="H72" s="291">
        <f t="shared" si="10"/>
        <v>5030086.6869317964</v>
      </c>
      <c r="J72" s="287">
        <f t="shared" si="31"/>
        <v>2</v>
      </c>
      <c r="K72" s="288">
        <f t="shared" si="23"/>
        <v>20</v>
      </c>
      <c r="L72" s="289">
        <f t="shared" si="24"/>
        <v>579</v>
      </c>
      <c r="M72" s="290">
        <f t="shared" si="19"/>
        <v>0</v>
      </c>
      <c r="N72" s="290" t="e">
        <f t="shared" si="20"/>
        <v>#NUM!</v>
      </c>
      <c r="O72" s="290">
        <f t="shared" si="11"/>
        <v>0</v>
      </c>
      <c r="P72" s="290">
        <f t="shared" si="12"/>
        <v>0</v>
      </c>
      <c r="Q72" s="291">
        <f t="shared" si="13"/>
        <v>0</v>
      </c>
      <c r="S72" s="287">
        <f t="shared" si="32"/>
        <v>2</v>
      </c>
      <c r="T72" s="288">
        <f t="shared" si="25"/>
        <v>20</v>
      </c>
      <c r="U72" s="289">
        <f t="shared" si="26"/>
        <v>579</v>
      </c>
      <c r="V72" s="290">
        <f t="shared" si="27"/>
        <v>0</v>
      </c>
      <c r="W72" s="290" t="e">
        <f t="shared" si="28"/>
        <v>#NUM!</v>
      </c>
      <c r="X72" s="290">
        <f t="shared" si="14"/>
        <v>0</v>
      </c>
      <c r="Y72" s="290" t="e">
        <f t="shared" si="15"/>
        <v>#NUM!</v>
      </c>
      <c r="Z72" s="290">
        <f t="shared" si="29"/>
        <v>0</v>
      </c>
      <c r="AA72" s="291"/>
      <c r="AC72"/>
      <c r="AD72"/>
      <c r="AE72"/>
      <c r="AF72"/>
      <c r="AG72"/>
      <c r="AH72"/>
      <c r="AI72"/>
      <c r="AJ72"/>
    </row>
    <row r="73" spans="1:36" hidden="1">
      <c r="A73" s="292">
        <f t="shared" si="30"/>
        <v>2</v>
      </c>
      <c r="B73" s="293">
        <f t="shared" si="21"/>
        <v>21</v>
      </c>
      <c r="C73" s="294">
        <f t="shared" si="22"/>
        <v>46661</v>
      </c>
      <c r="D73" s="295">
        <f t="shared" si="17"/>
        <v>5030086.6869317964</v>
      </c>
      <c r="E73" s="295">
        <f t="shared" si="18"/>
        <v>-30010.234142609712</v>
      </c>
      <c r="F73" s="295">
        <f t="shared" si="8"/>
        <v>-5907.7354343948464</v>
      </c>
      <c r="G73" s="295">
        <f t="shared" si="9"/>
        <v>-24102.498708214869</v>
      </c>
      <c r="H73" s="298">
        <f t="shared" si="10"/>
        <v>5024178.9514974011</v>
      </c>
      <c r="J73" s="292">
        <f t="shared" si="31"/>
        <v>2</v>
      </c>
      <c r="K73" s="293">
        <f t="shared" si="23"/>
        <v>21</v>
      </c>
      <c r="L73" s="294">
        <f t="shared" si="24"/>
        <v>610</v>
      </c>
      <c r="M73" s="295">
        <f t="shared" si="19"/>
        <v>0</v>
      </c>
      <c r="N73" s="295" t="e">
        <f t="shared" si="20"/>
        <v>#NUM!</v>
      </c>
      <c r="O73" s="295">
        <f t="shared" si="11"/>
        <v>0</v>
      </c>
      <c r="P73" s="295">
        <f t="shared" si="12"/>
        <v>0</v>
      </c>
      <c r="Q73" s="298">
        <f t="shared" si="13"/>
        <v>0</v>
      </c>
      <c r="S73" s="292">
        <f t="shared" si="32"/>
        <v>2</v>
      </c>
      <c r="T73" s="293">
        <f t="shared" si="25"/>
        <v>21</v>
      </c>
      <c r="U73" s="294">
        <f t="shared" si="26"/>
        <v>610</v>
      </c>
      <c r="V73" s="295">
        <f t="shared" si="27"/>
        <v>0</v>
      </c>
      <c r="W73" s="290" t="e">
        <f t="shared" si="28"/>
        <v>#NUM!</v>
      </c>
      <c r="X73" s="295">
        <f t="shared" si="14"/>
        <v>0</v>
      </c>
      <c r="Y73" s="295" t="e">
        <f t="shared" si="15"/>
        <v>#NUM!</v>
      </c>
      <c r="Z73" s="295">
        <f t="shared" si="29"/>
        <v>0</v>
      </c>
      <c r="AA73" s="298"/>
      <c r="AC73"/>
      <c r="AD73"/>
      <c r="AE73"/>
      <c r="AF73"/>
      <c r="AG73"/>
      <c r="AH73"/>
      <c r="AI73"/>
      <c r="AJ73"/>
    </row>
    <row r="74" spans="1:36" hidden="1">
      <c r="A74" s="287">
        <f t="shared" si="30"/>
        <v>2</v>
      </c>
      <c r="B74" s="288">
        <f t="shared" si="21"/>
        <v>22</v>
      </c>
      <c r="C74" s="289">
        <f t="shared" si="22"/>
        <v>46692</v>
      </c>
      <c r="D74" s="290">
        <f t="shared" si="17"/>
        <v>5024178.9514974011</v>
      </c>
      <c r="E74" s="290">
        <f t="shared" si="18"/>
        <v>-30010.234142609712</v>
      </c>
      <c r="F74" s="290">
        <f t="shared" si="8"/>
        <v>-5936.043333351322</v>
      </c>
      <c r="G74" s="290">
        <f t="shared" si="9"/>
        <v>-24074.190809258387</v>
      </c>
      <c r="H74" s="291">
        <f t="shared" si="10"/>
        <v>5018242.9081640495</v>
      </c>
      <c r="J74" s="287">
        <f t="shared" si="31"/>
        <v>2</v>
      </c>
      <c r="K74" s="288">
        <f t="shared" si="23"/>
        <v>22</v>
      </c>
      <c r="L74" s="289">
        <f t="shared" si="24"/>
        <v>640</v>
      </c>
      <c r="M74" s="290">
        <f t="shared" si="19"/>
        <v>0</v>
      </c>
      <c r="N74" s="290" t="e">
        <f t="shared" si="20"/>
        <v>#NUM!</v>
      </c>
      <c r="O74" s="290">
        <f t="shared" si="11"/>
        <v>0</v>
      </c>
      <c r="P74" s="290">
        <f t="shared" si="12"/>
        <v>0</v>
      </c>
      <c r="Q74" s="291">
        <f t="shared" si="13"/>
        <v>0</v>
      </c>
      <c r="S74" s="287">
        <f t="shared" si="32"/>
        <v>2</v>
      </c>
      <c r="T74" s="288">
        <f t="shared" si="25"/>
        <v>22</v>
      </c>
      <c r="U74" s="289">
        <f t="shared" si="26"/>
        <v>640</v>
      </c>
      <c r="V74" s="290">
        <f t="shared" si="27"/>
        <v>0</v>
      </c>
      <c r="W74" s="290" t="e">
        <f t="shared" si="28"/>
        <v>#NUM!</v>
      </c>
      <c r="X74" s="290">
        <f t="shared" si="14"/>
        <v>0</v>
      </c>
      <c r="Y74" s="290" t="e">
        <f t="shared" si="15"/>
        <v>#NUM!</v>
      </c>
      <c r="Z74" s="290">
        <f t="shared" si="29"/>
        <v>0</v>
      </c>
      <c r="AA74" s="291"/>
      <c r="AC74"/>
      <c r="AD74"/>
      <c r="AE74"/>
      <c r="AF74"/>
      <c r="AG74"/>
      <c r="AH74"/>
      <c r="AI74"/>
      <c r="AJ74"/>
    </row>
    <row r="75" spans="1:36" hidden="1">
      <c r="A75" s="292">
        <f t="shared" si="30"/>
        <v>2</v>
      </c>
      <c r="B75" s="293">
        <f t="shared" si="21"/>
        <v>23</v>
      </c>
      <c r="C75" s="294">
        <f t="shared" si="22"/>
        <v>46722</v>
      </c>
      <c r="D75" s="295">
        <f t="shared" si="17"/>
        <v>5018242.9081640495</v>
      </c>
      <c r="E75" s="295">
        <f t="shared" si="18"/>
        <v>-30010.234142609712</v>
      </c>
      <c r="F75" s="295">
        <f t="shared" si="8"/>
        <v>-5964.4868743236302</v>
      </c>
      <c r="G75" s="295">
        <f t="shared" si="9"/>
        <v>-24045.747268286083</v>
      </c>
      <c r="H75" s="296">
        <f t="shared" si="10"/>
        <v>5012278.4212897262</v>
      </c>
      <c r="J75" s="292">
        <f t="shared" si="31"/>
        <v>2</v>
      </c>
      <c r="K75" s="293">
        <f t="shared" si="23"/>
        <v>23</v>
      </c>
      <c r="L75" s="294">
        <f t="shared" si="24"/>
        <v>671</v>
      </c>
      <c r="M75" s="295">
        <f t="shared" si="19"/>
        <v>0</v>
      </c>
      <c r="N75" s="295" t="e">
        <f t="shared" si="20"/>
        <v>#NUM!</v>
      </c>
      <c r="O75" s="295">
        <f t="shared" si="11"/>
        <v>0</v>
      </c>
      <c r="P75" s="295">
        <f t="shared" si="12"/>
        <v>0</v>
      </c>
      <c r="Q75" s="296">
        <f t="shared" si="13"/>
        <v>0</v>
      </c>
      <c r="S75" s="292">
        <f t="shared" si="32"/>
        <v>2</v>
      </c>
      <c r="T75" s="293">
        <f t="shared" si="25"/>
        <v>23</v>
      </c>
      <c r="U75" s="294">
        <f t="shared" si="26"/>
        <v>671</v>
      </c>
      <c r="V75" s="295">
        <f t="shared" si="27"/>
        <v>0</v>
      </c>
      <c r="W75" s="290" t="e">
        <f t="shared" si="28"/>
        <v>#NUM!</v>
      </c>
      <c r="X75" s="295">
        <f t="shared" si="14"/>
        <v>0</v>
      </c>
      <c r="Y75" s="295" t="e">
        <f t="shared" si="15"/>
        <v>#NUM!</v>
      </c>
      <c r="Z75" s="295">
        <f t="shared" si="29"/>
        <v>0</v>
      </c>
      <c r="AA75" s="296"/>
      <c r="AC75"/>
      <c r="AD75"/>
      <c r="AE75"/>
      <c r="AF75"/>
      <c r="AG75"/>
      <c r="AH75"/>
      <c r="AI75"/>
      <c r="AJ75"/>
    </row>
    <row r="76" spans="1:36" hidden="1">
      <c r="A76" s="287">
        <f t="shared" si="30"/>
        <v>2</v>
      </c>
      <c r="B76" s="288">
        <f t="shared" si="21"/>
        <v>24</v>
      </c>
      <c r="C76" s="289">
        <f t="shared" si="22"/>
        <v>46753</v>
      </c>
      <c r="D76" s="290">
        <f t="shared" si="17"/>
        <v>5012278.4212897262</v>
      </c>
      <c r="E76" s="290">
        <f t="shared" si="18"/>
        <v>-30010.234142609712</v>
      </c>
      <c r="F76" s="290">
        <f t="shared" si="8"/>
        <v>-5993.0667072630968</v>
      </c>
      <c r="G76" s="290">
        <f t="shared" si="9"/>
        <v>-24017.167435346615</v>
      </c>
      <c r="H76" s="291">
        <f t="shared" si="10"/>
        <v>5006285.3545824634</v>
      </c>
      <c r="J76" s="287">
        <f t="shared" si="31"/>
        <v>2</v>
      </c>
      <c r="K76" s="288">
        <f t="shared" si="23"/>
        <v>24</v>
      </c>
      <c r="L76" s="289">
        <f t="shared" si="24"/>
        <v>701</v>
      </c>
      <c r="M76" s="290">
        <f t="shared" si="19"/>
        <v>0</v>
      </c>
      <c r="N76" s="290" t="e">
        <f t="shared" si="20"/>
        <v>#NUM!</v>
      </c>
      <c r="O76" s="290">
        <f t="shared" si="11"/>
        <v>0</v>
      </c>
      <c r="P76" s="290">
        <f t="shared" si="12"/>
        <v>0</v>
      </c>
      <c r="Q76" s="291">
        <f t="shared" si="13"/>
        <v>0</v>
      </c>
      <c r="S76" s="287">
        <f t="shared" si="32"/>
        <v>2</v>
      </c>
      <c r="T76" s="288">
        <f t="shared" si="25"/>
        <v>24</v>
      </c>
      <c r="U76" s="289">
        <f t="shared" si="26"/>
        <v>701</v>
      </c>
      <c r="V76" s="290">
        <f t="shared" si="27"/>
        <v>0</v>
      </c>
      <c r="W76" s="290" t="e">
        <f t="shared" si="28"/>
        <v>#NUM!</v>
      </c>
      <c r="X76" s="290">
        <f t="shared" si="14"/>
        <v>0</v>
      </c>
      <c r="Y76" s="290" t="e">
        <f t="shared" si="15"/>
        <v>#NUM!</v>
      </c>
      <c r="Z76" s="290">
        <f t="shared" si="29"/>
        <v>0</v>
      </c>
      <c r="AA76" s="291"/>
      <c r="AC76"/>
      <c r="AD76"/>
      <c r="AE76"/>
      <c r="AF76"/>
      <c r="AG76"/>
      <c r="AH76"/>
      <c r="AI76"/>
      <c r="AJ76"/>
    </row>
    <row r="77" spans="1:36" hidden="1">
      <c r="A77" s="292">
        <f t="shared" si="30"/>
        <v>3</v>
      </c>
      <c r="B77" s="293">
        <f t="shared" si="21"/>
        <v>25</v>
      </c>
      <c r="C77" s="294">
        <f t="shared" si="22"/>
        <v>46784</v>
      </c>
      <c r="D77" s="295">
        <f t="shared" si="17"/>
        <v>5006285.3545824634</v>
      </c>
      <c r="E77" s="295">
        <f t="shared" si="18"/>
        <v>-30010.234142609712</v>
      </c>
      <c r="F77" s="295">
        <f t="shared" si="8"/>
        <v>-6021.7834852353999</v>
      </c>
      <c r="G77" s="295">
        <f t="shared" si="9"/>
        <v>-23988.450657374309</v>
      </c>
      <c r="H77" s="298">
        <f t="shared" si="10"/>
        <v>5000263.5710972277</v>
      </c>
      <c r="J77" s="292">
        <f t="shared" si="31"/>
        <v>3</v>
      </c>
      <c r="K77" s="293">
        <f t="shared" si="23"/>
        <v>25</v>
      </c>
      <c r="L77" s="294">
        <f t="shared" si="24"/>
        <v>732</v>
      </c>
      <c r="M77" s="295">
        <f t="shared" si="19"/>
        <v>0</v>
      </c>
      <c r="N77" s="295" t="e">
        <f t="shared" si="20"/>
        <v>#NUM!</v>
      </c>
      <c r="O77" s="295">
        <f t="shared" si="11"/>
        <v>0</v>
      </c>
      <c r="P77" s="295">
        <f t="shared" si="12"/>
        <v>0</v>
      </c>
      <c r="Q77" s="298">
        <f t="shared" si="13"/>
        <v>0</v>
      </c>
      <c r="S77" s="292">
        <f t="shared" si="32"/>
        <v>3</v>
      </c>
      <c r="T77" s="293">
        <f t="shared" si="25"/>
        <v>25</v>
      </c>
      <c r="U77" s="294">
        <f t="shared" si="26"/>
        <v>732</v>
      </c>
      <c r="V77" s="295">
        <f t="shared" si="27"/>
        <v>0</v>
      </c>
      <c r="W77" s="290" t="e">
        <f t="shared" si="28"/>
        <v>#NUM!</v>
      </c>
      <c r="X77" s="295">
        <f t="shared" si="14"/>
        <v>0</v>
      </c>
      <c r="Y77" s="295" t="e">
        <f t="shared" si="15"/>
        <v>#NUM!</v>
      </c>
      <c r="Z77" s="295">
        <f t="shared" si="29"/>
        <v>0</v>
      </c>
      <c r="AA77" s="298"/>
      <c r="AC77"/>
      <c r="AD77"/>
      <c r="AE77"/>
      <c r="AF77"/>
      <c r="AG77"/>
      <c r="AH77"/>
      <c r="AI77"/>
      <c r="AJ77"/>
    </row>
    <row r="78" spans="1:36" hidden="1">
      <c r="A78" s="287">
        <f t="shared" si="30"/>
        <v>3</v>
      </c>
      <c r="B78" s="288">
        <f t="shared" si="21"/>
        <v>26</v>
      </c>
      <c r="C78" s="289">
        <f t="shared" si="22"/>
        <v>46813</v>
      </c>
      <c r="D78" s="290">
        <f t="shared" si="17"/>
        <v>5000263.5710972277</v>
      </c>
      <c r="E78" s="290">
        <f t="shared" si="18"/>
        <v>-30010.234142609712</v>
      </c>
      <c r="F78" s="290">
        <f t="shared" si="8"/>
        <v>-6050.6378644354863</v>
      </c>
      <c r="G78" s="290">
        <f t="shared" si="9"/>
        <v>-23959.596278174224</v>
      </c>
      <c r="H78" s="291">
        <f t="shared" si="10"/>
        <v>4994212.9332327927</v>
      </c>
      <c r="J78" s="287">
        <f t="shared" si="31"/>
        <v>3</v>
      </c>
      <c r="K78" s="288">
        <f t="shared" si="23"/>
        <v>26</v>
      </c>
      <c r="L78" s="289">
        <f t="shared" si="24"/>
        <v>763</v>
      </c>
      <c r="M78" s="290">
        <f t="shared" si="19"/>
        <v>0</v>
      </c>
      <c r="N78" s="290" t="e">
        <f t="shared" si="20"/>
        <v>#NUM!</v>
      </c>
      <c r="O78" s="290">
        <f t="shared" si="11"/>
        <v>0</v>
      </c>
      <c r="P78" s="290">
        <f t="shared" si="12"/>
        <v>0</v>
      </c>
      <c r="Q78" s="291">
        <f t="shared" si="13"/>
        <v>0</v>
      </c>
      <c r="S78" s="287">
        <f t="shared" si="32"/>
        <v>3</v>
      </c>
      <c r="T78" s="288">
        <f t="shared" si="25"/>
        <v>26</v>
      </c>
      <c r="U78" s="289">
        <f t="shared" si="26"/>
        <v>763</v>
      </c>
      <c r="V78" s="290">
        <f t="shared" si="27"/>
        <v>0</v>
      </c>
      <c r="W78" s="290" t="e">
        <f t="shared" si="28"/>
        <v>#NUM!</v>
      </c>
      <c r="X78" s="290">
        <f t="shared" si="14"/>
        <v>0</v>
      </c>
      <c r="Y78" s="290" t="e">
        <f t="shared" si="15"/>
        <v>#NUM!</v>
      </c>
      <c r="Z78" s="290">
        <f t="shared" si="29"/>
        <v>0</v>
      </c>
      <c r="AA78" s="291"/>
      <c r="AC78"/>
      <c r="AD78"/>
      <c r="AE78"/>
      <c r="AF78"/>
      <c r="AG78"/>
      <c r="AH78"/>
      <c r="AI78"/>
      <c r="AJ78"/>
    </row>
    <row r="79" spans="1:36" hidden="1">
      <c r="A79" s="292">
        <f t="shared" si="30"/>
        <v>3</v>
      </c>
      <c r="B79" s="293">
        <f t="shared" si="21"/>
        <v>27</v>
      </c>
      <c r="C79" s="294">
        <f t="shared" si="22"/>
        <v>46844</v>
      </c>
      <c r="D79" s="295">
        <f t="shared" si="17"/>
        <v>4994212.9332327927</v>
      </c>
      <c r="E79" s="295">
        <f t="shared" si="18"/>
        <v>-30010.234142609712</v>
      </c>
      <c r="F79" s="295">
        <f t="shared" si="8"/>
        <v>-6079.6305042025724</v>
      </c>
      <c r="G79" s="295">
        <f t="shared" si="9"/>
        <v>-23930.603638407138</v>
      </c>
      <c r="H79" s="296">
        <f t="shared" si="10"/>
        <v>4988133.3027285896</v>
      </c>
      <c r="J79" s="292">
        <f t="shared" si="31"/>
        <v>3</v>
      </c>
      <c r="K79" s="293">
        <f t="shared" si="23"/>
        <v>27</v>
      </c>
      <c r="L79" s="294">
        <f t="shared" si="24"/>
        <v>791</v>
      </c>
      <c r="M79" s="295">
        <f t="shared" si="19"/>
        <v>0</v>
      </c>
      <c r="N79" s="295" t="e">
        <f t="shared" si="20"/>
        <v>#NUM!</v>
      </c>
      <c r="O79" s="295">
        <f t="shared" si="11"/>
        <v>0</v>
      </c>
      <c r="P79" s="295">
        <f t="shared" si="12"/>
        <v>0</v>
      </c>
      <c r="Q79" s="296">
        <f t="shared" si="13"/>
        <v>0</v>
      </c>
      <c r="S79" s="292">
        <f t="shared" si="32"/>
        <v>3</v>
      </c>
      <c r="T79" s="293">
        <f t="shared" si="25"/>
        <v>27</v>
      </c>
      <c r="U79" s="294">
        <f t="shared" si="26"/>
        <v>791</v>
      </c>
      <c r="V79" s="295">
        <f t="shared" si="27"/>
        <v>0</v>
      </c>
      <c r="W79" s="290" t="e">
        <f t="shared" si="28"/>
        <v>#NUM!</v>
      </c>
      <c r="X79" s="295">
        <f t="shared" si="14"/>
        <v>0</v>
      </c>
      <c r="Y79" s="295" t="e">
        <f t="shared" si="15"/>
        <v>#NUM!</v>
      </c>
      <c r="Z79" s="295">
        <f t="shared" si="29"/>
        <v>0</v>
      </c>
      <c r="AA79" s="296"/>
      <c r="AC79"/>
      <c r="AD79"/>
      <c r="AE79"/>
      <c r="AF79"/>
      <c r="AG79"/>
      <c r="AH79"/>
      <c r="AI79"/>
      <c r="AJ79"/>
    </row>
    <row r="80" spans="1:36" hidden="1">
      <c r="A80" s="287">
        <f t="shared" si="30"/>
        <v>3</v>
      </c>
      <c r="B80" s="288">
        <f t="shared" si="21"/>
        <v>28</v>
      </c>
      <c r="C80" s="289">
        <f t="shared" si="22"/>
        <v>46874</v>
      </c>
      <c r="D80" s="290">
        <f t="shared" si="17"/>
        <v>4988133.3027285896</v>
      </c>
      <c r="E80" s="290">
        <f t="shared" si="18"/>
        <v>-30010.234142609712</v>
      </c>
      <c r="F80" s="290">
        <f t="shared" si="8"/>
        <v>-6108.7620670352107</v>
      </c>
      <c r="G80" s="290">
        <f t="shared" si="9"/>
        <v>-23901.472075574504</v>
      </c>
      <c r="H80" s="291">
        <f t="shared" si="10"/>
        <v>4982024.5406615548</v>
      </c>
      <c r="J80" s="287">
        <f t="shared" si="31"/>
        <v>3</v>
      </c>
      <c r="K80" s="288">
        <f t="shared" si="23"/>
        <v>28</v>
      </c>
      <c r="L80" s="289">
        <f t="shared" si="24"/>
        <v>822</v>
      </c>
      <c r="M80" s="290">
        <f t="shared" si="19"/>
        <v>0</v>
      </c>
      <c r="N80" s="290" t="e">
        <f t="shared" si="20"/>
        <v>#NUM!</v>
      </c>
      <c r="O80" s="290">
        <f t="shared" si="11"/>
        <v>0</v>
      </c>
      <c r="P80" s="290">
        <f t="shared" si="12"/>
        <v>0</v>
      </c>
      <c r="Q80" s="291">
        <f t="shared" si="13"/>
        <v>0</v>
      </c>
      <c r="S80" s="287">
        <f t="shared" si="32"/>
        <v>3</v>
      </c>
      <c r="T80" s="288">
        <f t="shared" si="25"/>
        <v>28</v>
      </c>
      <c r="U80" s="289">
        <f t="shared" si="26"/>
        <v>822</v>
      </c>
      <c r="V80" s="290">
        <f t="shared" si="27"/>
        <v>0</v>
      </c>
      <c r="W80" s="290" t="e">
        <f t="shared" si="28"/>
        <v>#NUM!</v>
      </c>
      <c r="X80" s="290">
        <f t="shared" si="14"/>
        <v>0</v>
      </c>
      <c r="Y80" s="290" t="e">
        <f t="shared" si="15"/>
        <v>#NUM!</v>
      </c>
      <c r="Z80" s="290">
        <f t="shared" si="29"/>
        <v>0</v>
      </c>
      <c r="AA80" s="291"/>
      <c r="AC80"/>
      <c r="AD80"/>
      <c r="AE80"/>
      <c r="AF80"/>
      <c r="AG80"/>
      <c r="AH80"/>
      <c r="AI80"/>
      <c r="AJ80"/>
    </row>
    <row r="81" spans="1:36" hidden="1">
      <c r="A81" s="292">
        <f t="shared" si="30"/>
        <v>3</v>
      </c>
      <c r="B81" s="293">
        <f t="shared" si="21"/>
        <v>29</v>
      </c>
      <c r="C81" s="294">
        <f t="shared" si="22"/>
        <v>46905</v>
      </c>
      <c r="D81" s="295">
        <f t="shared" si="17"/>
        <v>4982024.5406615548</v>
      </c>
      <c r="E81" s="295">
        <f t="shared" si="18"/>
        <v>-30010.234142609712</v>
      </c>
      <c r="F81" s="295">
        <f t="shared" si="8"/>
        <v>-6138.0332186064215</v>
      </c>
      <c r="G81" s="295">
        <f t="shared" si="9"/>
        <v>-23872.200924003289</v>
      </c>
      <c r="H81" s="298">
        <f t="shared" si="10"/>
        <v>4975886.5074429484</v>
      </c>
      <c r="J81" s="292">
        <f t="shared" si="31"/>
        <v>3</v>
      </c>
      <c r="K81" s="293">
        <f t="shared" si="23"/>
        <v>29</v>
      </c>
      <c r="L81" s="294">
        <f t="shared" si="24"/>
        <v>852</v>
      </c>
      <c r="M81" s="295">
        <f t="shared" si="19"/>
        <v>0</v>
      </c>
      <c r="N81" s="295" t="e">
        <f t="shared" si="20"/>
        <v>#NUM!</v>
      </c>
      <c r="O81" s="295">
        <f t="shared" si="11"/>
        <v>0</v>
      </c>
      <c r="P81" s="295">
        <f t="shared" si="12"/>
        <v>0</v>
      </c>
      <c r="Q81" s="298">
        <f t="shared" si="13"/>
        <v>0</v>
      </c>
      <c r="S81" s="292">
        <f t="shared" si="32"/>
        <v>3</v>
      </c>
      <c r="T81" s="293">
        <f t="shared" si="25"/>
        <v>29</v>
      </c>
      <c r="U81" s="294">
        <f t="shared" si="26"/>
        <v>852</v>
      </c>
      <c r="V81" s="295">
        <f t="shared" si="27"/>
        <v>0</v>
      </c>
      <c r="W81" s="290" t="e">
        <f t="shared" si="28"/>
        <v>#NUM!</v>
      </c>
      <c r="X81" s="295">
        <f t="shared" si="14"/>
        <v>0</v>
      </c>
      <c r="Y81" s="295" t="e">
        <f t="shared" si="15"/>
        <v>#NUM!</v>
      </c>
      <c r="Z81" s="295">
        <f t="shared" si="29"/>
        <v>0</v>
      </c>
      <c r="AA81" s="298"/>
      <c r="AC81"/>
      <c r="AD81"/>
      <c r="AE81"/>
      <c r="AF81"/>
      <c r="AG81"/>
      <c r="AH81"/>
      <c r="AI81"/>
      <c r="AJ81"/>
    </row>
    <row r="82" spans="1:36" hidden="1">
      <c r="A82" s="287">
        <f t="shared" si="30"/>
        <v>3</v>
      </c>
      <c r="B82" s="288">
        <f t="shared" si="21"/>
        <v>30</v>
      </c>
      <c r="C82" s="289">
        <f t="shared" si="22"/>
        <v>46935</v>
      </c>
      <c r="D82" s="290">
        <f t="shared" si="17"/>
        <v>4975886.5074429484</v>
      </c>
      <c r="E82" s="290">
        <f t="shared" si="18"/>
        <v>-30010.234142609712</v>
      </c>
      <c r="F82" s="290">
        <f t="shared" si="8"/>
        <v>-6167.4446277789093</v>
      </c>
      <c r="G82" s="290">
        <f t="shared" si="9"/>
        <v>-23842.789514830805</v>
      </c>
      <c r="H82" s="291">
        <f t="shared" si="10"/>
        <v>4969719.0628151698</v>
      </c>
      <c r="J82" s="287">
        <f t="shared" si="31"/>
        <v>3</v>
      </c>
      <c r="K82" s="288">
        <f t="shared" si="23"/>
        <v>30</v>
      </c>
      <c r="L82" s="289">
        <f t="shared" si="24"/>
        <v>883</v>
      </c>
      <c r="M82" s="290">
        <f t="shared" si="19"/>
        <v>0</v>
      </c>
      <c r="N82" s="290" t="e">
        <f t="shared" si="20"/>
        <v>#NUM!</v>
      </c>
      <c r="O82" s="290">
        <f t="shared" si="11"/>
        <v>0</v>
      </c>
      <c r="P82" s="290">
        <f t="shared" si="12"/>
        <v>0</v>
      </c>
      <c r="Q82" s="291">
        <f t="shared" si="13"/>
        <v>0</v>
      </c>
      <c r="S82" s="287">
        <f t="shared" si="32"/>
        <v>3</v>
      </c>
      <c r="T82" s="288">
        <f t="shared" si="25"/>
        <v>30</v>
      </c>
      <c r="U82" s="289">
        <f t="shared" si="26"/>
        <v>883</v>
      </c>
      <c r="V82" s="290">
        <f t="shared" si="27"/>
        <v>0</v>
      </c>
      <c r="W82" s="290" t="e">
        <f t="shared" si="28"/>
        <v>#NUM!</v>
      </c>
      <c r="X82" s="290">
        <f t="shared" si="14"/>
        <v>0</v>
      </c>
      <c r="Y82" s="290" t="e">
        <f t="shared" si="15"/>
        <v>#NUM!</v>
      </c>
      <c r="Z82" s="290">
        <f t="shared" si="29"/>
        <v>0</v>
      </c>
      <c r="AA82" s="291"/>
      <c r="AC82"/>
      <c r="AD82"/>
      <c r="AE82"/>
      <c r="AF82"/>
      <c r="AG82"/>
      <c r="AH82"/>
      <c r="AI82"/>
      <c r="AJ82"/>
    </row>
    <row r="83" spans="1:36" hidden="1">
      <c r="A83" s="292">
        <f t="shared" si="30"/>
        <v>3</v>
      </c>
      <c r="B83" s="293">
        <f t="shared" si="21"/>
        <v>31</v>
      </c>
      <c r="C83" s="294">
        <f t="shared" si="22"/>
        <v>46966</v>
      </c>
      <c r="D83" s="295">
        <f t="shared" si="17"/>
        <v>4969719.0628151698</v>
      </c>
      <c r="E83" s="295">
        <f t="shared" si="18"/>
        <v>-30010.234142609712</v>
      </c>
      <c r="F83" s="295">
        <f t="shared" si="8"/>
        <v>-6196.9969666203506</v>
      </c>
      <c r="G83" s="295">
        <f t="shared" si="9"/>
        <v>-23813.237175989361</v>
      </c>
      <c r="H83" s="296">
        <f t="shared" si="10"/>
        <v>4963522.0658485498</v>
      </c>
      <c r="J83" s="292">
        <f t="shared" si="31"/>
        <v>3</v>
      </c>
      <c r="K83" s="293">
        <f t="shared" si="23"/>
        <v>31</v>
      </c>
      <c r="L83" s="294">
        <f t="shared" si="24"/>
        <v>913</v>
      </c>
      <c r="M83" s="295">
        <f t="shared" si="19"/>
        <v>0</v>
      </c>
      <c r="N83" s="295" t="e">
        <f t="shared" si="20"/>
        <v>#NUM!</v>
      </c>
      <c r="O83" s="295">
        <f t="shared" si="11"/>
        <v>0</v>
      </c>
      <c r="P83" s="295">
        <f t="shared" si="12"/>
        <v>0</v>
      </c>
      <c r="Q83" s="296">
        <f t="shared" si="13"/>
        <v>0</v>
      </c>
      <c r="S83" s="292">
        <f t="shared" si="32"/>
        <v>3</v>
      </c>
      <c r="T83" s="293">
        <f t="shared" si="25"/>
        <v>31</v>
      </c>
      <c r="U83" s="294">
        <f t="shared" si="26"/>
        <v>913</v>
      </c>
      <c r="V83" s="295">
        <f t="shared" si="27"/>
        <v>0</v>
      </c>
      <c r="W83" s="290" t="e">
        <f t="shared" si="28"/>
        <v>#NUM!</v>
      </c>
      <c r="X83" s="295">
        <f t="shared" si="14"/>
        <v>0</v>
      </c>
      <c r="Y83" s="295" t="e">
        <f t="shared" si="15"/>
        <v>#NUM!</v>
      </c>
      <c r="Z83" s="295">
        <f t="shared" si="29"/>
        <v>0</v>
      </c>
      <c r="AA83" s="296"/>
      <c r="AC83"/>
      <c r="AD83"/>
      <c r="AE83"/>
      <c r="AF83"/>
      <c r="AG83"/>
      <c r="AH83"/>
      <c r="AI83"/>
      <c r="AJ83"/>
    </row>
    <row r="84" spans="1:36" hidden="1">
      <c r="A84" s="287">
        <f t="shared" si="30"/>
        <v>3</v>
      </c>
      <c r="B84" s="288">
        <f t="shared" si="21"/>
        <v>32</v>
      </c>
      <c r="C84" s="289">
        <f t="shared" si="22"/>
        <v>46997</v>
      </c>
      <c r="D84" s="290">
        <f t="shared" si="17"/>
        <v>4963522.0658485498</v>
      </c>
      <c r="E84" s="290">
        <f t="shared" si="18"/>
        <v>-30010.234142609712</v>
      </c>
      <c r="F84" s="290">
        <f t="shared" si="8"/>
        <v>-6226.6909104187407</v>
      </c>
      <c r="G84" s="290">
        <f t="shared" si="9"/>
        <v>-23783.543232190976</v>
      </c>
      <c r="H84" s="291">
        <f t="shared" si="10"/>
        <v>4957295.3749381313</v>
      </c>
      <c r="J84" s="287">
        <f t="shared" si="31"/>
        <v>3</v>
      </c>
      <c r="K84" s="288">
        <f t="shared" si="23"/>
        <v>32</v>
      </c>
      <c r="L84" s="289">
        <f t="shared" si="24"/>
        <v>944</v>
      </c>
      <c r="M84" s="290">
        <f t="shared" si="19"/>
        <v>0</v>
      </c>
      <c r="N84" s="290" t="e">
        <f t="shared" si="20"/>
        <v>#NUM!</v>
      </c>
      <c r="O84" s="290">
        <f t="shared" si="11"/>
        <v>0</v>
      </c>
      <c r="P84" s="290">
        <f t="shared" si="12"/>
        <v>0</v>
      </c>
      <c r="Q84" s="291">
        <f t="shared" si="13"/>
        <v>0</v>
      </c>
      <c r="S84" s="287">
        <f t="shared" si="32"/>
        <v>3</v>
      </c>
      <c r="T84" s="288">
        <f t="shared" si="25"/>
        <v>32</v>
      </c>
      <c r="U84" s="289">
        <f t="shared" si="26"/>
        <v>944</v>
      </c>
      <c r="V84" s="290">
        <f t="shared" si="27"/>
        <v>0</v>
      </c>
      <c r="W84" s="290" t="e">
        <f t="shared" si="28"/>
        <v>#NUM!</v>
      </c>
      <c r="X84" s="290">
        <f t="shared" si="14"/>
        <v>0</v>
      </c>
      <c r="Y84" s="290" t="e">
        <f t="shared" si="15"/>
        <v>#NUM!</v>
      </c>
      <c r="Z84" s="290">
        <f t="shared" si="29"/>
        <v>0</v>
      </c>
      <c r="AA84" s="291"/>
      <c r="AC84"/>
      <c r="AD84"/>
      <c r="AE84"/>
      <c r="AF84"/>
      <c r="AG84"/>
      <c r="AH84"/>
      <c r="AI84"/>
      <c r="AJ84"/>
    </row>
    <row r="85" spans="1:36" hidden="1">
      <c r="A85" s="292">
        <f t="shared" si="30"/>
        <v>3</v>
      </c>
      <c r="B85" s="293">
        <f t="shared" si="21"/>
        <v>33</v>
      </c>
      <c r="C85" s="294">
        <f t="shared" si="22"/>
        <v>47027</v>
      </c>
      <c r="D85" s="295">
        <f t="shared" si="17"/>
        <v>4957295.3749381313</v>
      </c>
      <c r="E85" s="295">
        <f t="shared" si="18"/>
        <v>-30010.234142609712</v>
      </c>
      <c r="F85" s="295">
        <f t="shared" si="8"/>
        <v>-6256.5271376978289</v>
      </c>
      <c r="G85" s="295">
        <f t="shared" si="9"/>
        <v>-23753.707004911885</v>
      </c>
      <c r="H85" s="298">
        <f t="shared" si="10"/>
        <v>4951038.8478004336</v>
      </c>
      <c r="J85" s="292">
        <f t="shared" si="31"/>
        <v>3</v>
      </c>
      <c r="K85" s="293">
        <f t="shared" si="23"/>
        <v>33</v>
      </c>
      <c r="L85" s="294">
        <f t="shared" si="24"/>
        <v>975</v>
      </c>
      <c r="M85" s="295">
        <f t="shared" si="19"/>
        <v>0</v>
      </c>
      <c r="N85" s="295" t="e">
        <f t="shared" si="20"/>
        <v>#NUM!</v>
      </c>
      <c r="O85" s="295">
        <f t="shared" si="11"/>
        <v>0</v>
      </c>
      <c r="P85" s="295">
        <f t="shared" si="12"/>
        <v>0</v>
      </c>
      <c r="Q85" s="298">
        <f t="shared" si="13"/>
        <v>0</v>
      </c>
      <c r="S85" s="292">
        <f t="shared" si="32"/>
        <v>3</v>
      </c>
      <c r="T85" s="293">
        <f t="shared" si="25"/>
        <v>33</v>
      </c>
      <c r="U85" s="294">
        <f t="shared" si="26"/>
        <v>975</v>
      </c>
      <c r="V85" s="295">
        <f t="shared" si="27"/>
        <v>0</v>
      </c>
      <c r="W85" s="290" t="e">
        <f t="shared" si="28"/>
        <v>#NUM!</v>
      </c>
      <c r="X85" s="295">
        <f t="shared" si="14"/>
        <v>0</v>
      </c>
      <c r="Y85" s="295" t="e">
        <f t="shared" si="15"/>
        <v>#NUM!</v>
      </c>
      <c r="Z85" s="295">
        <f t="shared" si="29"/>
        <v>0</v>
      </c>
      <c r="AA85" s="298"/>
      <c r="AC85"/>
      <c r="AD85"/>
      <c r="AE85"/>
      <c r="AF85"/>
      <c r="AG85"/>
      <c r="AH85"/>
      <c r="AI85"/>
      <c r="AJ85"/>
    </row>
    <row r="86" spans="1:36" hidden="1">
      <c r="A86" s="287">
        <f t="shared" si="30"/>
        <v>3</v>
      </c>
      <c r="B86" s="288">
        <f t="shared" si="21"/>
        <v>34</v>
      </c>
      <c r="C86" s="289">
        <f t="shared" si="22"/>
        <v>47058</v>
      </c>
      <c r="D86" s="290">
        <f t="shared" si="17"/>
        <v>4951038.8478004336</v>
      </c>
      <c r="E86" s="290">
        <f t="shared" si="18"/>
        <v>-30010.234142609712</v>
      </c>
      <c r="F86" s="290">
        <f t="shared" si="8"/>
        <v>-6286.5063302326316</v>
      </c>
      <c r="G86" s="290">
        <f t="shared" si="9"/>
        <v>-23723.727812377081</v>
      </c>
      <c r="H86" s="291">
        <f t="shared" si="10"/>
        <v>4944752.3414702006</v>
      </c>
      <c r="J86" s="287">
        <f t="shared" si="31"/>
        <v>3</v>
      </c>
      <c r="K86" s="288">
        <f t="shared" si="23"/>
        <v>34</v>
      </c>
      <c r="L86" s="289">
        <f t="shared" si="24"/>
        <v>1005</v>
      </c>
      <c r="M86" s="290">
        <f t="shared" si="19"/>
        <v>0</v>
      </c>
      <c r="N86" s="290" t="e">
        <f t="shared" si="20"/>
        <v>#NUM!</v>
      </c>
      <c r="O86" s="290">
        <f t="shared" si="11"/>
        <v>0</v>
      </c>
      <c r="P86" s="290">
        <f t="shared" si="12"/>
        <v>0</v>
      </c>
      <c r="Q86" s="291">
        <f t="shared" si="13"/>
        <v>0</v>
      </c>
      <c r="S86" s="287">
        <f t="shared" si="32"/>
        <v>3</v>
      </c>
      <c r="T86" s="288">
        <f t="shared" si="25"/>
        <v>34</v>
      </c>
      <c r="U86" s="289">
        <f t="shared" si="26"/>
        <v>1005</v>
      </c>
      <c r="V86" s="290">
        <f t="shared" si="27"/>
        <v>0</v>
      </c>
      <c r="W86" s="290" t="e">
        <f t="shared" si="28"/>
        <v>#NUM!</v>
      </c>
      <c r="X86" s="290">
        <f t="shared" si="14"/>
        <v>0</v>
      </c>
      <c r="Y86" s="290" t="e">
        <f t="shared" si="15"/>
        <v>#NUM!</v>
      </c>
      <c r="Z86" s="290">
        <f t="shared" si="29"/>
        <v>0</v>
      </c>
      <c r="AA86" s="291"/>
      <c r="AC86"/>
      <c r="AD86"/>
      <c r="AE86"/>
      <c r="AF86"/>
      <c r="AG86"/>
      <c r="AH86"/>
      <c r="AI86"/>
      <c r="AJ86"/>
    </row>
    <row r="87" spans="1:36" hidden="1">
      <c r="A87" s="292">
        <f t="shared" si="30"/>
        <v>3</v>
      </c>
      <c r="B87" s="293">
        <f t="shared" si="21"/>
        <v>35</v>
      </c>
      <c r="C87" s="294">
        <f t="shared" si="22"/>
        <v>47088</v>
      </c>
      <c r="D87" s="295">
        <f t="shared" si="17"/>
        <v>4944752.3414702006</v>
      </c>
      <c r="E87" s="295">
        <f t="shared" si="18"/>
        <v>-30010.234142609712</v>
      </c>
      <c r="F87" s="295">
        <f t="shared" si="8"/>
        <v>-6316.6291730649964</v>
      </c>
      <c r="G87" s="295">
        <f t="shared" si="9"/>
        <v>-23693.604969544718</v>
      </c>
      <c r="H87" s="296">
        <f t="shared" si="10"/>
        <v>4938435.712297136</v>
      </c>
      <c r="J87" s="292">
        <f t="shared" si="31"/>
        <v>3</v>
      </c>
      <c r="K87" s="293">
        <f t="shared" si="23"/>
        <v>35</v>
      </c>
      <c r="L87" s="294">
        <f t="shared" si="24"/>
        <v>1036</v>
      </c>
      <c r="M87" s="295">
        <f t="shared" si="19"/>
        <v>0</v>
      </c>
      <c r="N87" s="295" t="e">
        <f t="shared" si="20"/>
        <v>#NUM!</v>
      </c>
      <c r="O87" s="295">
        <f t="shared" si="11"/>
        <v>0</v>
      </c>
      <c r="P87" s="295">
        <f t="shared" si="12"/>
        <v>0</v>
      </c>
      <c r="Q87" s="296">
        <f t="shared" si="13"/>
        <v>0</v>
      </c>
      <c r="S87" s="292">
        <f t="shared" si="32"/>
        <v>3</v>
      </c>
      <c r="T87" s="293">
        <f t="shared" si="25"/>
        <v>35</v>
      </c>
      <c r="U87" s="294">
        <f t="shared" si="26"/>
        <v>1036</v>
      </c>
      <c r="V87" s="295">
        <f t="shared" si="27"/>
        <v>0</v>
      </c>
      <c r="W87" s="290" t="e">
        <f t="shared" si="28"/>
        <v>#NUM!</v>
      </c>
      <c r="X87" s="295">
        <f t="shared" si="14"/>
        <v>0</v>
      </c>
      <c r="Y87" s="295" t="e">
        <f t="shared" si="15"/>
        <v>#NUM!</v>
      </c>
      <c r="Z87" s="295">
        <f t="shared" si="29"/>
        <v>0</v>
      </c>
      <c r="AA87" s="296"/>
      <c r="AC87"/>
      <c r="AD87"/>
      <c r="AE87"/>
      <c r="AF87"/>
      <c r="AG87"/>
      <c r="AH87"/>
      <c r="AI87"/>
      <c r="AJ87"/>
    </row>
    <row r="88" spans="1:36" hidden="1">
      <c r="A88" s="287">
        <f t="shared" si="30"/>
        <v>3</v>
      </c>
      <c r="B88" s="288">
        <f t="shared" si="21"/>
        <v>36</v>
      </c>
      <c r="C88" s="289">
        <f t="shared" si="22"/>
        <v>47119</v>
      </c>
      <c r="D88" s="290">
        <f t="shared" si="17"/>
        <v>4938435.712297136</v>
      </c>
      <c r="E88" s="290">
        <f t="shared" si="18"/>
        <v>-30010.234142609712</v>
      </c>
      <c r="F88" s="290">
        <f t="shared" si="8"/>
        <v>-6346.8963545192655</v>
      </c>
      <c r="G88" s="290">
        <f t="shared" si="9"/>
        <v>-23663.337788090445</v>
      </c>
      <c r="H88" s="291">
        <f t="shared" si="10"/>
        <v>4932088.8159426171</v>
      </c>
      <c r="J88" s="287">
        <f t="shared" si="31"/>
        <v>3</v>
      </c>
      <c r="K88" s="288">
        <f t="shared" si="23"/>
        <v>36</v>
      </c>
      <c r="L88" s="289">
        <f t="shared" si="24"/>
        <v>1066</v>
      </c>
      <c r="M88" s="290">
        <f t="shared" si="19"/>
        <v>0</v>
      </c>
      <c r="N88" s="290" t="e">
        <f t="shared" si="20"/>
        <v>#NUM!</v>
      </c>
      <c r="O88" s="290">
        <f t="shared" si="11"/>
        <v>0</v>
      </c>
      <c r="P88" s="290">
        <f t="shared" si="12"/>
        <v>0</v>
      </c>
      <c r="Q88" s="291">
        <f t="shared" si="13"/>
        <v>0</v>
      </c>
      <c r="S88" s="287">
        <f t="shared" si="32"/>
        <v>3</v>
      </c>
      <c r="T88" s="288">
        <f t="shared" si="25"/>
        <v>36</v>
      </c>
      <c r="U88" s="289">
        <f t="shared" si="26"/>
        <v>1066</v>
      </c>
      <c r="V88" s="290">
        <f t="shared" si="27"/>
        <v>0</v>
      </c>
      <c r="W88" s="290" t="e">
        <f t="shared" si="28"/>
        <v>#NUM!</v>
      </c>
      <c r="X88" s="290">
        <f t="shared" si="14"/>
        <v>0</v>
      </c>
      <c r="Y88" s="290" t="e">
        <f t="shared" si="15"/>
        <v>#NUM!</v>
      </c>
      <c r="Z88" s="290">
        <f t="shared" si="29"/>
        <v>0</v>
      </c>
      <c r="AA88" s="291"/>
      <c r="AC88"/>
      <c r="AD88"/>
      <c r="AE88"/>
      <c r="AF88"/>
      <c r="AG88"/>
      <c r="AH88"/>
      <c r="AI88"/>
      <c r="AJ88"/>
    </row>
    <row r="89" spans="1:36" hidden="1">
      <c r="A89" s="292">
        <f t="shared" si="30"/>
        <v>4</v>
      </c>
      <c r="B89" s="293">
        <f t="shared" si="21"/>
        <v>37</v>
      </c>
      <c r="C89" s="294">
        <f t="shared" si="22"/>
        <v>47150</v>
      </c>
      <c r="D89" s="295">
        <f t="shared" si="17"/>
        <v>4932088.8159426171</v>
      </c>
      <c r="E89" s="295">
        <f t="shared" si="18"/>
        <v>-30010.234142609712</v>
      </c>
      <c r="F89" s="295">
        <f t="shared" si="8"/>
        <v>-6377.3085662180047</v>
      </c>
      <c r="G89" s="295">
        <f t="shared" si="9"/>
        <v>-23632.92557639171</v>
      </c>
      <c r="H89" s="298">
        <f t="shared" si="10"/>
        <v>4925711.5073763989</v>
      </c>
      <c r="J89" s="292">
        <f t="shared" si="31"/>
        <v>4</v>
      </c>
      <c r="K89" s="293">
        <f t="shared" si="23"/>
        <v>37</v>
      </c>
      <c r="L89" s="294">
        <f t="shared" si="24"/>
        <v>1097</v>
      </c>
      <c r="M89" s="295">
        <f t="shared" si="19"/>
        <v>0</v>
      </c>
      <c r="N89" s="295" t="e">
        <f t="shared" si="20"/>
        <v>#NUM!</v>
      </c>
      <c r="O89" s="295">
        <f t="shared" si="11"/>
        <v>0</v>
      </c>
      <c r="P89" s="295">
        <f t="shared" si="12"/>
        <v>0</v>
      </c>
      <c r="Q89" s="298">
        <f t="shared" si="13"/>
        <v>0</v>
      </c>
      <c r="S89" s="292">
        <f t="shared" si="32"/>
        <v>4</v>
      </c>
      <c r="T89" s="293">
        <f t="shared" si="25"/>
        <v>37</v>
      </c>
      <c r="U89" s="294">
        <f t="shared" si="26"/>
        <v>1097</v>
      </c>
      <c r="V89" s="295">
        <f t="shared" si="27"/>
        <v>0</v>
      </c>
      <c r="W89" s="290" t="e">
        <f t="shared" si="28"/>
        <v>#NUM!</v>
      </c>
      <c r="X89" s="295">
        <f t="shared" si="14"/>
        <v>0</v>
      </c>
      <c r="Y89" s="295" t="e">
        <f t="shared" si="15"/>
        <v>#NUM!</v>
      </c>
      <c r="Z89" s="295">
        <f t="shared" si="29"/>
        <v>0</v>
      </c>
      <c r="AA89" s="298"/>
      <c r="AC89"/>
      <c r="AD89"/>
      <c r="AE89"/>
      <c r="AF89"/>
      <c r="AG89"/>
      <c r="AH89"/>
      <c r="AI89"/>
      <c r="AJ89"/>
    </row>
    <row r="90" spans="1:36" hidden="1">
      <c r="A90" s="287">
        <f t="shared" si="30"/>
        <v>4</v>
      </c>
      <c r="B90" s="288">
        <f t="shared" si="21"/>
        <v>38</v>
      </c>
      <c r="C90" s="289">
        <f t="shared" si="22"/>
        <v>47178</v>
      </c>
      <c r="D90" s="290">
        <f t="shared" si="17"/>
        <v>4925711.5073763989</v>
      </c>
      <c r="E90" s="290">
        <f t="shared" si="18"/>
        <v>-30010.234142609712</v>
      </c>
      <c r="F90" s="290">
        <f t="shared" si="8"/>
        <v>-6407.8665030977991</v>
      </c>
      <c r="G90" s="290">
        <f t="shared" si="9"/>
        <v>-23602.367639511915</v>
      </c>
      <c r="H90" s="291">
        <f t="shared" si="10"/>
        <v>4919303.6408733008</v>
      </c>
      <c r="J90" s="287">
        <f t="shared" si="31"/>
        <v>4</v>
      </c>
      <c r="K90" s="288">
        <f t="shared" si="23"/>
        <v>38</v>
      </c>
      <c r="L90" s="289">
        <f t="shared" si="24"/>
        <v>1128</v>
      </c>
      <c r="M90" s="290">
        <f t="shared" si="19"/>
        <v>0</v>
      </c>
      <c r="N90" s="290" t="e">
        <f t="shared" si="20"/>
        <v>#NUM!</v>
      </c>
      <c r="O90" s="290">
        <f t="shared" si="11"/>
        <v>0</v>
      </c>
      <c r="P90" s="290">
        <f t="shared" si="12"/>
        <v>0</v>
      </c>
      <c r="Q90" s="291">
        <f t="shared" si="13"/>
        <v>0</v>
      </c>
      <c r="S90" s="287">
        <f t="shared" si="32"/>
        <v>4</v>
      </c>
      <c r="T90" s="288">
        <f t="shared" si="25"/>
        <v>38</v>
      </c>
      <c r="U90" s="289">
        <f t="shared" si="26"/>
        <v>1128</v>
      </c>
      <c r="V90" s="290">
        <f t="shared" si="27"/>
        <v>0</v>
      </c>
      <c r="W90" s="290" t="e">
        <f t="shared" si="28"/>
        <v>#NUM!</v>
      </c>
      <c r="X90" s="290">
        <f t="shared" si="14"/>
        <v>0</v>
      </c>
      <c r="Y90" s="290" t="e">
        <f t="shared" si="15"/>
        <v>#NUM!</v>
      </c>
      <c r="Z90" s="290">
        <f t="shared" si="29"/>
        <v>0</v>
      </c>
      <c r="AA90" s="291"/>
      <c r="AC90"/>
      <c r="AD90"/>
      <c r="AE90"/>
      <c r="AF90"/>
      <c r="AG90"/>
      <c r="AH90"/>
      <c r="AI90"/>
      <c r="AJ90"/>
    </row>
    <row r="91" spans="1:36" hidden="1">
      <c r="A91" s="292">
        <f t="shared" si="30"/>
        <v>4</v>
      </c>
      <c r="B91" s="293">
        <f t="shared" si="21"/>
        <v>39</v>
      </c>
      <c r="C91" s="294">
        <f t="shared" si="22"/>
        <v>47209</v>
      </c>
      <c r="D91" s="295">
        <f t="shared" si="17"/>
        <v>4919303.6408733008</v>
      </c>
      <c r="E91" s="295">
        <f t="shared" si="18"/>
        <v>-30010.234142609712</v>
      </c>
      <c r="F91" s="295">
        <f t="shared" si="8"/>
        <v>-6438.5708634251414</v>
      </c>
      <c r="G91" s="295">
        <f t="shared" si="9"/>
        <v>-23571.66327918457</v>
      </c>
      <c r="H91" s="296">
        <f t="shared" si="10"/>
        <v>4912865.070009876</v>
      </c>
      <c r="J91" s="292">
        <f t="shared" si="31"/>
        <v>4</v>
      </c>
      <c r="K91" s="293">
        <f t="shared" si="23"/>
        <v>39</v>
      </c>
      <c r="L91" s="294">
        <f t="shared" si="24"/>
        <v>1156</v>
      </c>
      <c r="M91" s="295">
        <f t="shared" si="19"/>
        <v>0</v>
      </c>
      <c r="N91" s="295" t="e">
        <f t="shared" si="20"/>
        <v>#NUM!</v>
      </c>
      <c r="O91" s="295">
        <f t="shared" si="11"/>
        <v>0</v>
      </c>
      <c r="P91" s="295">
        <f t="shared" si="12"/>
        <v>0</v>
      </c>
      <c r="Q91" s="296">
        <f t="shared" si="13"/>
        <v>0</v>
      </c>
      <c r="S91" s="292">
        <f t="shared" si="32"/>
        <v>4</v>
      </c>
      <c r="T91" s="293">
        <f t="shared" si="25"/>
        <v>39</v>
      </c>
      <c r="U91" s="294">
        <f t="shared" si="26"/>
        <v>1156</v>
      </c>
      <c r="V91" s="295">
        <f t="shared" si="27"/>
        <v>0</v>
      </c>
      <c r="W91" s="290" t="e">
        <f t="shared" si="28"/>
        <v>#NUM!</v>
      </c>
      <c r="X91" s="295">
        <f t="shared" si="14"/>
        <v>0</v>
      </c>
      <c r="Y91" s="295" t="e">
        <f t="shared" si="15"/>
        <v>#NUM!</v>
      </c>
      <c r="Z91" s="295">
        <f t="shared" si="29"/>
        <v>0</v>
      </c>
      <c r="AA91" s="296"/>
      <c r="AC91"/>
      <c r="AD91"/>
      <c r="AE91"/>
      <c r="AF91"/>
      <c r="AG91"/>
      <c r="AH91"/>
      <c r="AI91"/>
      <c r="AJ91"/>
    </row>
    <row r="92" spans="1:36" hidden="1">
      <c r="A92" s="287">
        <f t="shared" si="30"/>
        <v>4</v>
      </c>
      <c r="B92" s="288">
        <f t="shared" si="21"/>
        <v>40</v>
      </c>
      <c r="C92" s="289">
        <f t="shared" si="22"/>
        <v>47239</v>
      </c>
      <c r="D92" s="290">
        <f t="shared" si="17"/>
        <v>4912865.070009876</v>
      </c>
      <c r="E92" s="290">
        <f t="shared" si="18"/>
        <v>-30010.234142609712</v>
      </c>
      <c r="F92" s="290">
        <f t="shared" si="8"/>
        <v>-6469.422348812388</v>
      </c>
      <c r="G92" s="290">
        <f t="shared" si="9"/>
        <v>-23540.811793797326</v>
      </c>
      <c r="H92" s="291">
        <f t="shared" si="10"/>
        <v>4906395.6476610638</v>
      </c>
      <c r="J92" s="287">
        <f t="shared" si="31"/>
        <v>4</v>
      </c>
      <c r="K92" s="288">
        <f t="shared" si="23"/>
        <v>40</v>
      </c>
      <c r="L92" s="289">
        <f t="shared" si="24"/>
        <v>1187</v>
      </c>
      <c r="M92" s="290">
        <f t="shared" si="19"/>
        <v>0</v>
      </c>
      <c r="N92" s="290" t="e">
        <f t="shared" si="20"/>
        <v>#NUM!</v>
      </c>
      <c r="O92" s="290">
        <f t="shared" si="11"/>
        <v>0</v>
      </c>
      <c r="P92" s="290">
        <f t="shared" si="12"/>
        <v>0</v>
      </c>
      <c r="Q92" s="291">
        <f t="shared" si="13"/>
        <v>0</v>
      </c>
      <c r="S92" s="287">
        <f t="shared" si="32"/>
        <v>4</v>
      </c>
      <c r="T92" s="288">
        <f t="shared" si="25"/>
        <v>40</v>
      </c>
      <c r="U92" s="289">
        <f t="shared" si="26"/>
        <v>1187</v>
      </c>
      <c r="V92" s="290">
        <f t="shared" si="27"/>
        <v>0</v>
      </c>
      <c r="W92" s="290" t="e">
        <f t="shared" si="28"/>
        <v>#NUM!</v>
      </c>
      <c r="X92" s="290">
        <f t="shared" si="14"/>
        <v>0</v>
      </c>
      <c r="Y92" s="290" t="e">
        <f t="shared" si="15"/>
        <v>#NUM!</v>
      </c>
      <c r="Z92" s="290">
        <f t="shared" si="29"/>
        <v>0</v>
      </c>
      <c r="AA92" s="291"/>
      <c r="AC92"/>
      <c r="AD92"/>
      <c r="AE92"/>
      <c r="AF92"/>
      <c r="AG92"/>
      <c r="AH92"/>
      <c r="AI92"/>
      <c r="AJ92"/>
    </row>
    <row r="93" spans="1:36" hidden="1">
      <c r="A93" s="292">
        <f t="shared" si="30"/>
        <v>4</v>
      </c>
      <c r="B93" s="293">
        <f t="shared" si="21"/>
        <v>41</v>
      </c>
      <c r="C93" s="294">
        <f t="shared" si="22"/>
        <v>47270</v>
      </c>
      <c r="D93" s="295">
        <f t="shared" si="17"/>
        <v>4906395.6476610638</v>
      </c>
      <c r="E93" s="295">
        <f t="shared" si="18"/>
        <v>-30010.234142609712</v>
      </c>
      <c r="F93" s="295">
        <f t="shared" si="8"/>
        <v>-6500.4216642337806</v>
      </c>
      <c r="G93" s="295">
        <f t="shared" si="9"/>
        <v>-23509.812478375934</v>
      </c>
      <c r="H93" s="298">
        <f t="shared" si="10"/>
        <v>4899895.2259968305</v>
      </c>
      <c r="J93" s="292">
        <f t="shared" si="31"/>
        <v>4</v>
      </c>
      <c r="K93" s="293">
        <f t="shared" si="23"/>
        <v>41</v>
      </c>
      <c r="L93" s="294">
        <f t="shared" si="24"/>
        <v>1217</v>
      </c>
      <c r="M93" s="295">
        <f t="shared" si="19"/>
        <v>0</v>
      </c>
      <c r="N93" s="295" t="e">
        <f t="shared" si="20"/>
        <v>#NUM!</v>
      </c>
      <c r="O93" s="295">
        <f t="shared" si="11"/>
        <v>0</v>
      </c>
      <c r="P93" s="295">
        <f t="shared" si="12"/>
        <v>0</v>
      </c>
      <c r="Q93" s="298">
        <f t="shared" si="13"/>
        <v>0</v>
      </c>
      <c r="S93" s="292">
        <f t="shared" si="32"/>
        <v>4</v>
      </c>
      <c r="T93" s="293">
        <f t="shared" si="25"/>
        <v>41</v>
      </c>
      <c r="U93" s="294">
        <f t="shared" si="26"/>
        <v>1217</v>
      </c>
      <c r="V93" s="295">
        <f t="shared" si="27"/>
        <v>0</v>
      </c>
      <c r="W93" s="290" t="e">
        <f t="shared" si="28"/>
        <v>#NUM!</v>
      </c>
      <c r="X93" s="295">
        <f t="shared" si="14"/>
        <v>0</v>
      </c>
      <c r="Y93" s="295" t="e">
        <f t="shared" si="15"/>
        <v>#NUM!</v>
      </c>
      <c r="Z93" s="295">
        <f t="shared" si="29"/>
        <v>0</v>
      </c>
      <c r="AA93" s="298"/>
      <c r="AC93"/>
      <c r="AD93"/>
      <c r="AE93"/>
      <c r="AF93"/>
      <c r="AG93"/>
      <c r="AH93"/>
      <c r="AI93"/>
      <c r="AJ93"/>
    </row>
    <row r="94" spans="1:36" hidden="1">
      <c r="A94" s="287">
        <f t="shared" si="30"/>
        <v>4</v>
      </c>
      <c r="B94" s="288">
        <f t="shared" si="21"/>
        <v>42</v>
      </c>
      <c r="C94" s="289">
        <f t="shared" si="22"/>
        <v>47300</v>
      </c>
      <c r="D94" s="290">
        <f t="shared" si="17"/>
        <v>4899895.2259968305</v>
      </c>
      <c r="E94" s="290">
        <f t="shared" si="18"/>
        <v>-30010.234142609712</v>
      </c>
      <c r="F94" s="290">
        <f t="shared" si="8"/>
        <v>-6531.5695180415669</v>
      </c>
      <c r="G94" s="290">
        <f t="shared" si="9"/>
        <v>-23478.664624568144</v>
      </c>
      <c r="H94" s="291">
        <f t="shared" si="10"/>
        <v>4893363.6564787887</v>
      </c>
      <c r="J94" s="287">
        <f t="shared" si="31"/>
        <v>4</v>
      </c>
      <c r="K94" s="288">
        <f t="shared" si="23"/>
        <v>42</v>
      </c>
      <c r="L94" s="289">
        <f t="shared" si="24"/>
        <v>1248</v>
      </c>
      <c r="M94" s="290">
        <f t="shared" si="19"/>
        <v>0</v>
      </c>
      <c r="N94" s="290" t="e">
        <f t="shared" si="20"/>
        <v>#NUM!</v>
      </c>
      <c r="O94" s="290">
        <f t="shared" si="11"/>
        <v>0</v>
      </c>
      <c r="P94" s="290">
        <f t="shared" si="12"/>
        <v>0</v>
      </c>
      <c r="Q94" s="291">
        <f t="shared" si="13"/>
        <v>0</v>
      </c>
      <c r="S94" s="287">
        <f t="shared" si="32"/>
        <v>4</v>
      </c>
      <c r="T94" s="288">
        <f t="shared" si="25"/>
        <v>42</v>
      </c>
      <c r="U94" s="289">
        <f t="shared" si="26"/>
        <v>1248</v>
      </c>
      <c r="V94" s="290">
        <f t="shared" si="27"/>
        <v>0</v>
      </c>
      <c r="W94" s="290" t="e">
        <f t="shared" si="28"/>
        <v>#NUM!</v>
      </c>
      <c r="X94" s="290">
        <f t="shared" si="14"/>
        <v>0</v>
      </c>
      <c r="Y94" s="290" t="e">
        <f t="shared" si="15"/>
        <v>#NUM!</v>
      </c>
      <c r="Z94" s="290">
        <f t="shared" si="29"/>
        <v>0</v>
      </c>
      <c r="AA94" s="291"/>
      <c r="AC94"/>
      <c r="AD94"/>
      <c r="AE94"/>
      <c r="AF94"/>
      <c r="AG94"/>
      <c r="AH94"/>
      <c r="AI94"/>
      <c r="AJ94"/>
    </row>
    <row r="95" spans="1:36" hidden="1">
      <c r="A95" s="292">
        <f t="shared" si="30"/>
        <v>4</v>
      </c>
      <c r="B95" s="293">
        <f t="shared" si="21"/>
        <v>43</v>
      </c>
      <c r="C95" s="294">
        <f t="shared" si="22"/>
        <v>47331</v>
      </c>
      <c r="D95" s="295">
        <f t="shared" si="17"/>
        <v>4893363.6564787887</v>
      </c>
      <c r="E95" s="295">
        <f t="shared" si="18"/>
        <v>-30010.234142609712</v>
      </c>
      <c r="F95" s="295">
        <f t="shared" si="8"/>
        <v>-6562.8666219821835</v>
      </c>
      <c r="G95" s="295">
        <f t="shared" si="9"/>
        <v>-23447.367520627533</v>
      </c>
      <c r="H95" s="296">
        <f t="shared" si="10"/>
        <v>4886800.7898568064</v>
      </c>
      <c r="J95" s="292">
        <f t="shared" si="31"/>
        <v>4</v>
      </c>
      <c r="K95" s="293">
        <f t="shared" si="23"/>
        <v>43</v>
      </c>
      <c r="L95" s="294">
        <f t="shared" si="24"/>
        <v>1278</v>
      </c>
      <c r="M95" s="295">
        <f t="shared" si="19"/>
        <v>0</v>
      </c>
      <c r="N95" s="295" t="e">
        <f t="shared" si="20"/>
        <v>#NUM!</v>
      </c>
      <c r="O95" s="295">
        <f t="shared" si="11"/>
        <v>0</v>
      </c>
      <c r="P95" s="295">
        <f t="shared" si="12"/>
        <v>0</v>
      </c>
      <c r="Q95" s="296">
        <f t="shared" si="13"/>
        <v>0</v>
      </c>
      <c r="S95" s="292">
        <f t="shared" si="32"/>
        <v>4</v>
      </c>
      <c r="T95" s="293">
        <f t="shared" si="25"/>
        <v>43</v>
      </c>
      <c r="U95" s="294">
        <f t="shared" si="26"/>
        <v>1278</v>
      </c>
      <c r="V95" s="295">
        <f t="shared" si="27"/>
        <v>0</v>
      </c>
      <c r="W95" s="290" t="e">
        <f t="shared" si="28"/>
        <v>#NUM!</v>
      </c>
      <c r="X95" s="295">
        <f t="shared" si="14"/>
        <v>0</v>
      </c>
      <c r="Y95" s="295" t="e">
        <f t="shared" si="15"/>
        <v>#NUM!</v>
      </c>
      <c r="Z95" s="295">
        <f t="shared" si="29"/>
        <v>0</v>
      </c>
      <c r="AA95" s="296"/>
      <c r="AC95"/>
      <c r="AD95"/>
      <c r="AE95"/>
      <c r="AF95"/>
      <c r="AG95"/>
      <c r="AH95"/>
      <c r="AI95"/>
      <c r="AJ95"/>
    </row>
    <row r="96" spans="1:36" hidden="1">
      <c r="A96" s="287">
        <f t="shared" si="30"/>
        <v>4</v>
      </c>
      <c r="B96" s="288">
        <f t="shared" si="21"/>
        <v>44</v>
      </c>
      <c r="C96" s="289">
        <f t="shared" si="22"/>
        <v>47362</v>
      </c>
      <c r="D96" s="290">
        <f t="shared" si="17"/>
        <v>4886800.7898568064</v>
      </c>
      <c r="E96" s="290">
        <f t="shared" si="18"/>
        <v>-30010.234142609712</v>
      </c>
      <c r="F96" s="290">
        <f t="shared" si="8"/>
        <v>-6594.3136912125156</v>
      </c>
      <c r="G96" s="290">
        <f t="shared" si="9"/>
        <v>-23415.920451397196</v>
      </c>
      <c r="H96" s="291">
        <f t="shared" si="10"/>
        <v>4880206.4761655936</v>
      </c>
      <c r="J96" s="287">
        <f t="shared" si="31"/>
        <v>4</v>
      </c>
      <c r="K96" s="288">
        <f t="shared" si="23"/>
        <v>44</v>
      </c>
      <c r="L96" s="289">
        <f t="shared" si="24"/>
        <v>1309</v>
      </c>
      <c r="M96" s="290">
        <f t="shared" si="19"/>
        <v>0</v>
      </c>
      <c r="N96" s="290" t="e">
        <f t="shared" si="20"/>
        <v>#NUM!</v>
      </c>
      <c r="O96" s="290">
        <f t="shared" si="11"/>
        <v>0</v>
      </c>
      <c r="P96" s="290">
        <f t="shared" si="12"/>
        <v>0</v>
      </c>
      <c r="Q96" s="291">
        <f t="shared" si="13"/>
        <v>0</v>
      </c>
      <c r="S96" s="287">
        <f t="shared" si="32"/>
        <v>4</v>
      </c>
      <c r="T96" s="288">
        <f t="shared" si="25"/>
        <v>44</v>
      </c>
      <c r="U96" s="289">
        <f t="shared" si="26"/>
        <v>1309</v>
      </c>
      <c r="V96" s="290">
        <f t="shared" si="27"/>
        <v>0</v>
      </c>
      <c r="W96" s="290" t="e">
        <f t="shared" si="28"/>
        <v>#NUM!</v>
      </c>
      <c r="X96" s="290">
        <f t="shared" si="14"/>
        <v>0</v>
      </c>
      <c r="Y96" s="290" t="e">
        <f t="shared" si="15"/>
        <v>#NUM!</v>
      </c>
      <c r="Z96" s="290">
        <f t="shared" si="29"/>
        <v>0</v>
      </c>
      <c r="AA96" s="291"/>
      <c r="AC96"/>
      <c r="AD96"/>
      <c r="AE96"/>
      <c r="AF96"/>
      <c r="AG96"/>
      <c r="AH96"/>
      <c r="AI96"/>
      <c r="AJ96"/>
    </row>
    <row r="97" spans="1:36" hidden="1">
      <c r="A97" s="292">
        <f t="shared" si="30"/>
        <v>4</v>
      </c>
      <c r="B97" s="293">
        <f t="shared" si="21"/>
        <v>45</v>
      </c>
      <c r="C97" s="294">
        <f t="shared" si="22"/>
        <v>47392</v>
      </c>
      <c r="D97" s="295">
        <f t="shared" si="17"/>
        <v>4880206.4761655936</v>
      </c>
      <c r="E97" s="295">
        <f t="shared" si="18"/>
        <v>-30010.234142609712</v>
      </c>
      <c r="F97" s="295">
        <f t="shared" si="8"/>
        <v>-6625.9114443162416</v>
      </c>
      <c r="G97" s="295">
        <f t="shared" si="9"/>
        <v>-23384.322698293472</v>
      </c>
      <c r="H97" s="298">
        <f t="shared" si="10"/>
        <v>4873580.564721277</v>
      </c>
      <c r="J97" s="292">
        <f t="shared" si="31"/>
        <v>4</v>
      </c>
      <c r="K97" s="293">
        <f t="shared" si="23"/>
        <v>45</v>
      </c>
      <c r="L97" s="294">
        <f t="shared" si="24"/>
        <v>1340</v>
      </c>
      <c r="M97" s="295">
        <f t="shared" si="19"/>
        <v>0</v>
      </c>
      <c r="N97" s="295" t="e">
        <f t="shared" si="20"/>
        <v>#NUM!</v>
      </c>
      <c r="O97" s="295">
        <f t="shared" si="11"/>
        <v>0</v>
      </c>
      <c r="P97" s="295">
        <f t="shared" si="12"/>
        <v>0</v>
      </c>
      <c r="Q97" s="298">
        <f t="shared" si="13"/>
        <v>0</v>
      </c>
      <c r="S97" s="292">
        <f t="shared" si="32"/>
        <v>4</v>
      </c>
      <c r="T97" s="293">
        <f t="shared" si="25"/>
        <v>45</v>
      </c>
      <c r="U97" s="294">
        <f t="shared" si="26"/>
        <v>1340</v>
      </c>
      <c r="V97" s="295">
        <f t="shared" si="27"/>
        <v>0</v>
      </c>
      <c r="W97" s="290" t="e">
        <f t="shared" si="28"/>
        <v>#NUM!</v>
      </c>
      <c r="X97" s="295">
        <f t="shared" si="14"/>
        <v>0</v>
      </c>
      <c r="Y97" s="295" t="e">
        <f t="shared" si="15"/>
        <v>#NUM!</v>
      </c>
      <c r="Z97" s="295">
        <f t="shared" si="29"/>
        <v>0</v>
      </c>
      <c r="AA97" s="298"/>
      <c r="AC97"/>
      <c r="AD97"/>
      <c r="AE97"/>
      <c r="AF97"/>
      <c r="AG97"/>
      <c r="AH97"/>
      <c r="AI97"/>
      <c r="AJ97"/>
    </row>
    <row r="98" spans="1:36" hidden="1">
      <c r="A98" s="287">
        <f t="shared" si="30"/>
        <v>4</v>
      </c>
      <c r="B98" s="288">
        <f t="shared" si="21"/>
        <v>46</v>
      </c>
      <c r="C98" s="289">
        <f t="shared" si="22"/>
        <v>47423</v>
      </c>
      <c r="D98" s="290">
        <f t="shared" si="17"/>
        <v>4873580.564721277</v>
      </c>
      <c r="E98" s="290">
        <f t="shared" si="18"/>
        <v>-30010.234142609712</v>
      </c>
      <c r="F98" s="290">
        <f t="shared" si="8"/>
        <v>-6657.6606033202561</v>
      </c>
      <c r="G98" s="290">
        <f t="shared" si="9"/>
        <v>-23352.57353928946</v>
      </c>
      <c r="H98" s="291">
        <f t="shared" si="10"/>
        <v>4866922.9041179568</v>
      </c>
      <c r="J98" s="287">
        <f t="shared" si="31"/>
        <v>4</v>
      </c>
      <c r="K98" s="288">
        <f t="shared" si="23"/>
        <v>46</v>
      </c>
      <c r="L98" s="289">
        <f t="shared" si="24"/>
        <v>1370</v>
      </c>
      <c r="M98" s="290">
        <f t="shared" si="19"/>
        <v>0</v>
      </c>
      <c r="N98" s="290" t="e">
        <f t="shared" si="20"/>
        <v>#NUM!</v>
      </c>
      <c r="O98" s="290">
        <f t="shared" si="11"/>
        <v>0</v>
      </c>
      <c r="P98" s="290">
        <f t="shared" si="12"/>
        <v>0</v>
      </c>
      <c r="Q98" s="291">
        <f t="shared" si="13"/>
        <v>0</v>
      </c>
      <c r="S98" s="287">
        <f t="shared" si="32"/>
        <v>4</v>
      </c>
      <c r="T98" s="288">
        <f t="shared" si="25"/>
        <v>46</v>
      </c>
      <c r="U98" s="289">
        <f t="shared" si="26"/>
        <v>1370</v>
      </c>
      <c r="V98" s="290">
        <f t="shared" si="27"/>
        <v>0</v>
      </c>
      <c r="W98" s="290" t="e">
        <f t="shared" si="28"/>
        <v>#NUM!</v>
      </c>
      <c r="X98" s="290">
        <f t="shared" si="14"/>
        <v>0</v>
      </c>
      <c r="Y98" s="290" t="e">
        <f t="shared" si="15"/>
        <v>#NUM!</v>
      </c>
      <c r="Z98" s="290">
        <f t="shared" si="29"/>
        <v>0</v>
      </c>
      <c r="AA98" s="291"/>
      <c r="AC98"/>
      <c r="AD98"/>
      <c r="AE98"/>
      <c r="AF98"/>
      <c r="AG98"/>
      <c r="AH98"/>
      <c r="AI98"/>
      <c r="AJ98"/>
    </row>
    <row r="99" spans="1:36" hidden="1">
      <c r="A99" s="292">
        <f t="shared" si="30"/>
        <v>4</v>
      </c>
      <c r="B99" s="293">
        <f t="shared" si="21"/>
        <v>47</v>
      </c>
      <c r="C99" s="294">
        <f t="shared" si="22"/>
        <v>47453</v>
      </c>
      <c r="D99" s="295">
        <f t="shared" si="17"/>
        <v>4866922.9041179568</v>
      </c>
      <c r="E99" s="295">
        <f t="shared" si="18"/>
        <v>-30010.234142609712</v>
      </c>
      <c r="F99" s="295">
        <f t="shared" si="8"/>
        <v>-6689.5618937111667</v>
      </c>
      <c r="G99" s="295">
        <f t="shared" si="9"/>
        <v>-23320.672248898551</v>
      </c>
      <c r="H99" s="296">
        <f t="shared" si="10"/>
        <v>4860233.3422242459</v>
      </c>
      <c r="J99" s="292">
        <f t="shared" si="31"/>
        <v>4</v>
      </c>
      <c r="K99" s="293">
        <f t="shared" si="23"/>
        <v>47</v>
      </c>
      <c r="L99" s="294">
        <f t="shared" si="24"/>
        <v>1401</v>
      </c>
      <c r="M99" s="295">
        <f t="shared" si="19"/>
        <v>0</v>
      </c>
      <c r="N99" s="295" t="e">
        <f t="shared" si="20"/>
        <v>#NUM!</v>
      </c>
      <c r="O99" s="295">
        <f t="shared" si="11"/>
        <v>0</v>
      </c>
      <c r="P99" s="295">
        <f t="shared" si="12"/>
        <v>0</v>
      </c>
      <c r="Q99" s="296">
        <f t="shared" si="13"/>
        <v>0</v>
      </c>
      <c r="S99" s="292">
        <f t="shared" si="32"/>
        <v>4</v>
      </c>
      <c r="T99" s="293">
        <f t="shared" si="25"/>
        <v>47</v>
      </c>
      <c r="U99" s="294">
        <f t="shared" si="26"/>
        <v>1401</v>
      </c>
      <c r="V99" s="295">
        <f t="shared" si="27"/>
        <v>0</v>
      </c>
      <c r="W99" s="290" t="e">
        <f t="shared" si="28"/>
        <v>#NUM!</v>
      </c>
      <c r="X99" s="295">
        <f t="shared" si="14"/>
        <v>0</v>
      </c>
      <c r="Y99" s="295" t="e">
        <f t="shared" si="15"/>
        <v>#NUM!</v>
      </c>
      <c r="Z99" s="295">
        <f t="shared" si="29"/>
        <v>0</v>
      </c>
      <c r="AA99" s="296"/>
      <c r="AC99"/>
      <c r="AD99"/>
      <c r="AE99"/>
      <c r="AF99"/>
      <c r="AG99"/>
      <c r="AH99"/>
      <c r="AI99"/>
      <c r="AJ99"/>
    </row>
    <row r="100" spans="1:36" hidden="1">
      <c r="A100" s="287">
        <f t="shared" si="30"/>
        <v>4</v>
      </c>
      <c r="B100" s="288">
        <f t="shared" si="21"/>
        <v>48</v>
      </c>
      <c r="C100" s="289">
        <f t="shared" si="22"/>
        <v>47484</v>
      </c>
      <c r="D100" s="290">
        <f t="shared" si="17"/>
        <v>4860233.3422242459</v>
      </c>
      <c r="E100" s="290">
        <f t="shared" si="18"/>
        <v>-30010.234142609712</v>
      </c>
      <c r="F100" s="290">
        <f t="shared" si="8"/>
        <v>-6721.6160444518646</v>
      </c>
      <c r="G100" s="290">
        <f t="shared" si="9"/>
        <v>-23288.618098157847</v>
      </c>
      <c r="H100" s="291">
        <f t="shared" si="10"/>
        <v>4853511.7261797944</v>
      </c>
      <c r="J100" s="287">
        <f t="shared" si="31"/>
        <v>4</v>
      </c>
      <c r="K100" s="288">
        <f t="shared" si="23"/>
        <v>48</v>
      </c>
      <c r="L100" s="289">
        <f t="shared" si="24"/>
        <v>1431</v>
      </c>
      <c r="M100" s="290">
        <f t="shared" si="19"/>
        <v>0</v>
      </c>
      <c r="N100" s="290" t="e">
        <f t="shared" si="20"/>
        <v>#NUM!</v>
      </c>
      <c r="O100" s="290">
        <f t="shared" si="11"/>
        <v>0</v>
      </c>
      <c r="P100" s="290">
        <f t="shared" si="12"/>
        <v>0</v>
      </c>
      <c r="Q100" s="291">
        <f t="shared" si="13"/>
        <v>0</v>
      </c>
      <c r="S100" s="287">
        <f t="shared" si="32"/>
        <v>4</v>
      </c>
      <c r="T100" s="288">
        <f t="shared" si="25"/>
        <v>48</v>
      </c>
      <c r="U100" s="289">
        <f t="shared" si="26"/>
        <v>1431</v>
      </c>
      <c r="V100" s="290">
        <f t="shared" si="27"/>
        <v>0</v>
      </c>
      <c r="W100" s="290" t="e">
        <f t="shared" si="28"/>
        <v>#NUM!</v>
      </c>
      <c r="X100" s="290">
        <f t="shared" si="14"/>
        <v>0</v>
      </c>
      <c r="Y100" s="290" t="e">
        <f t="shared" si="15"/>
        <v>#NUM!</v>
      </c>
      <c r="Z100" s="290">
        <f t="shared" si="29"/>
        <v>0</v>
      </c>
      <c r="AA100" s="291"/>
      <c r="AC100"/>
      <c r="AD100"/>
      <c r="AE100"/>
      <c r="AF100"/>
      <c r="AG100"/>
      <c r="AH100"/>
      <c r="AI100"/>
      <c r="AJ100"/>
    </row>
    <row r="101" spans="1:36" hidden="1">
      <c r="A101" s="292">
        <f t="shared" si="30"/>
        <v>5</v>
      </c>
      <c r="B101" s="293">
        <f t="shared" si="21"/>
        <v>49</v>
      </c>
      <c r="C101" s="294">
        <f t="shared" si="22"/>
        <v>47515</v>
      </c>
      <c r="D101" s="295">
        <f t="shared" si="17"/>
        <v>4853511.7261797944</v>
      </c>
      <c r="E101" s="295">
        <f t="shared" si="18"/>
        <v>-30010.234142609712</v>
      </c>
      <c r="F101" s="295">
        <f t="shared" si="8"/>
        <v>-6753.8237879981971</v>
      </c>
      <c r="G101" s="295">
        <f t="shared" si="9"/>
        <v>-23256.410354611518</v>
      </c>
      <c r="H101" s="298">
        <f t="shared" si="10"/>
        <v>4846757.902391796</v>
      </c>
      <c r="J101" s="292">
        <f t="shared" si="31"/>
        <v>5</v>
      </c>
      <c r="K101" s="293">
        <f t="shared" si="23"/>
        <v>49</v>
      </c>
      <c r="L101" s="294">
        <f t="shared" si="24"/>
        <v>1462</v>
      </c>
      <c r="M101" s="295">
        <f t="shared" si="19"/>
        <v>0</v>
      </c>
      <c r="N101" s="295" t="e">
        <f t="shared" si="20"/>
        <v>#NUM!</v>
      </c>
      <c r="O101" s="295">
        <f t="shared" si="11"/>
        <v>0</v>
      </c>
      <c r="P101" s="295">
        <f t="shared" si="12"/>
        <v>0</v>
      </c>
      <c r="Q101" s="298">
        <f t="shared" si="13"/>
        <v>0</v>
      </c>
      <c r="S101" s="292">
        <f t="shared" si="32"/>
        <v>5</v>
      </c>
      <c r="T101" s="293">
        <f t="shared" si="25"/>
        <v>49</v>
      </c>
      <c r="U101" s="294">
        <f t="shared" si="26"/>
        <v>1462</v>
      </c>
      <c r="V101" s="295">
        <f t="shared" si="27"/>
        <v>0</v>
      </c>
      <c r="W101" s="290" t="e">
        <f t="shared" si="28"/>
        <v>#NUM!</v>
      </c>
      <c r="X101" s="295">
        <f t="shared" si="14"/>
        <v>0</v>
      </c>
      <c r="Y101" s="295" t="e">
        <f t="shared" si="15"/>
        <v>#NUM!</v>
      </c>
      <c r="Z101" s="295">
        <f t="shared" si="29"/>
        <v>0</v>
      </c>
      <c r="AA101" s="298"/>
      <c r="AC101"/>
      <c r="AD101"/>
      <c r="AE101"/>
      <c r="AF101"/>
      <c r="AG101"/>
      <c r="AH101"/>
      <c r="AI101"/>
      <c r="AJ101"/>
    </row>
    <row r="102" spans="1:36" hidden="1">
      <c r="A102" s="287">
        <f t="shared" si="30"/>
        <v>5</v>
      </c>
      <c r="B102" s="288">
        <f t="shared" si="21"/>
        <v>50</v>
      </c>
      <c r="C102" s="289">
        <f t="shared" si="22"/>
        <v>47543</v>
      </c>
      <c r="D102" s="290">
        <f t="shared" si="17"/>
        <v>4846757.902391796</v>
      </c>
      <c r="E102" s="290">
        <f t="shared" si="18"/>
        <v>-30010.234142609712</v>
      </c>
      <c r="F102" s="290">
        <f t="shared" si="8"/>
        <v>-6786.1858603156888</v>
      </c>
      <c r="G102" s="290">
        <f t="shared" si="9"/>
        <v>-23224.048282294021</v>
      </c>
      <c r="H102" s="291">
        <f t="shared" si="10"/>
        <v>4839971.7165314807</v>
      </c>
      <c r="J102" s="287">
        <f t="shared" si="31"/>
        <v>5</v>
      </c>
      <c r="K102" s="288">
        <f t="shared" si="23"/>
        <v>50</v>
      </c>
      <c r="L102" s="289">
        <f t="shared" si="24"/>
        <v>1493</v>
      </c>
      <c r="M102" s="290">
        <f t="shared" si="19"/>
        <v>0</v>
      </c>
      <c r="N102" s="290" t="e">
        <f t="shared" si="20"/>
        <v>#NUM!</v>
      </c>
      <c r="O102" s="290">
        <f t="shared" si="11"/>
        <v>0</v>
      </c>
      <c r="P102" s="290">
        <f t="shared" si="12"/>
        <v>0</v>
      </c>
      <c r="Q102" s="291">
        <f t="shared" si="13"/>
        <v>0</v>
      </c>
      <c r="S102" s="287">
        <f t="shared" si="32"/>
        <v>5</v>
      </c>
      <c r="T102" s="288">
        <f t="shared" si="25"/>
        <v>50</v>
      </c>
      <c r="U102" s="289">
        <f t="shared" si="26"/>
        <v>1493</v>
      </c>
      <c r="V102" s="290">
        <f t="shared" si="27"/>
        <v>0</v>
      </c>
      <c r="W102" s="290" t="e">
        <f t="shared" si="28"/>
        <v>#NUM!</v>
      </c>
      <c r="X102" s="290">
        <f t="shared" si="14"/>
        <v>0</v>
      </c>
      <c r="Y102" s="290" t="e">
        <f t="shared" si="15"/>
        <v>#NUM!</v>
      </c>
      <c r="Z102" s="290">
        <f t="shared" si="29"/>
        <v>0</v>
      </c>
      <c r="AA102" s="291"/>
      <c r="AC102"/>
      <c r="AD102"/>
      <c r="AE102"/>
      <c r="AF102"/>
      <c r="AG102"/>
      <c r="AH102"/>
      <c r="AI102"/>
      <c r="AJ102"/>
    </row>
    <row r="103" spans="1:36" hidden="1">
      <c r="A103" s="292">
        <f t="shared" si="30"/>
        <v>5</v>
      </c>
      <c r="B103" s="293">
        <f t="shared" si="21"/>
        <v>51</v>
      </c>
      <c r="C103" s="294">
        <f t="shared" si="22"/>
        <v>47574</v>
      </c>
      <c r="D103" s="295">
        <f t="shared" si="17"/>
        <v>4839971.7165314807</v>
      </c>
      <c r="E103" s="295">
        <f t="shared" si="18"/>
        <v>-30010.234142609712</v>
      </c>
      <c r="F103" s="295">
        <f t="shared" si="8"/>
        <v>-6818.7030008963693</v>
      </c>
      <c r="G103" s="295">
        <f t="shared" si="9"/>
        <v>-23191.531141713342</v>
      </c>
      <c r="H103" s="296">
        <f t="shared" si="10"/>
        <v>4833153.0135305841</v>
      </c>
      <c r="J103" s="292">
        <f t="shared" si="31"/>
        <v>5</v>
      </c>
      <c r="K103" s="293">
        <f t="shared" si="23"/>
        <v>51</v>
      </c>
      <c r="L103" s="294">
        <f t="shared" si="24"/>
        <v>1522</v>
      </c>
      <c r="M103" s="295">
        <f t="shared" si="19"/>
        <v>0</v>
      </c>
      <c r="N103" s="295" t="e">
        <f t="shared" si="20"/>
        <v>#NUM!</v>
      </c>
      <c r="O103" s="295">
        <f t="shared" si="11"/>
        <v>0</v>
      </c>
      <c r="P103" s="295">
        <f t="shared" si="12"/>
        <v>0</v>
      </c>
      <c r="Q103" s="296">
        <f t="shared" si="13"/>
        <v>0</v>
      </c>
      <c r="S103" s="292">
        <f t="shared" si="32"/>
        <v>5</v>
      </c>
      <c r="T103" s="293">
        <f t="shared" si="25"/>
        <v>51</v>
      </c>
      <c r="U103" s="294">
        <f t="shared" si="26"/>
        <v>1522</v>
      </c>
      <c r="V103" s="295">
        <f t="shared" si="27"/>
        <v>0</v>
      </c>
      <c r="W103" s="290" t="e">
        <f t="shared" si="28"/>
        <v>#NUM!</v>
      </c>
      <c r="X103" s="295">
        <f t="shared" si="14"/>
        <v>0</v>
      </c>
      <c r="Y103" s="295" t="e">
        <f t="shared" si="15"/>
        <v>#NUM!</v>
      </c>
      <c r="Z103" s="295">
        <f t="shared" si="29"/>
        <v>0</v>
      </c>
      <c r="AA103" s="296"/>
      <c r="AC103"/>
      <c r="AD103"/>
      <c r="AE103"/>
      <c r="AF103"/>
      <c r="AG103"/>
      <c r="AH103"/>
      <c r="AI103"/>
      <c r="AJ103"/>
    </row>
    <row r="104" spans="1:36" hidden="1">
      <c r="A104" s="287">
        <f t="shared" si="30"/>
        <v>5</v>
      </c>
      <c r="B104" s="288">
        <f t="shared" si="21"/>
        <v>52</v>
      </c>
      <c r="C104" s="289">
        <f t="shared" si="22"/>
        <v>47604</v>
      </c>
      <c r="D104" s="290">
        <f t="shared" si="17"/>
        <v>4833153.0135305841</v>
      </c>
      <c r="E104" s="290">
        <f t="shared" si="18"/>
        <v>-30010.234142609712</v>
      </c>
      <c r="F104" s="290">
        <f t="shared" si="8"/>
        <v>-6851.3759527756629</v>
      </c>
      <c r="G104" s="290">
        <f t="shared" si="9"/>
        <v>-23158.858189834053</v>
      </c>
      <c r="H104" s="291">
        <f t="shared" si="10"/>
        <v>4826301.6375778085</v>
      </c>
      <c r="J104" s="287">
        <f t="shared" si="31"/>
        <v>5</v>
      </c>
      <c r="K104" s="288">
        <f t="shared" si="23"/>
        <v>52</v>
      </c>
      <c r="L104" s="289">
        <f t="shared" si="24"/>
        <v>1553</v>
      </c>
      <c r="M104" s="290">
        <f t="shared" si="19"/>
        <v>0</v>
      </c>
      <c r="N104" s="290" t="e">
        <f t="shared" si="20"/>
        <v>#NUM!</v>
      </c>
      <c r="O104" s="290">
        <f t="shared" si="11"/>
        <v>0</v>
      </c>
      <c r="P104" s="290">
        <f t="shared" si="12"/>
        <v>0</v>
      </c>
      <c r="Q104" s="291">
        <f t="shared" si="13"/>
        <v>0</v>
      </c>
      <c r="S104" s="287">
        <f t="shared" si="32"/>
        <v>5</v>
      </c>
      <c r="T104" s="288">
        <f t="shared" si="25"/>
        <v>52</v>
      </c>
      <c r="U104" s="289">
        <f t="shared" si="26"/>
        <v>1553</v>
      </c>
      <c r="V104" s="290">
        <f t="shared" si="27"/>
        <v>0</v>
      </c>
      <c r="W104" s="290" t="e">
        <f t="shared" si="28"/>
        <v>#NUM!</v>
      </c>
      <c r="X104" s="290">
        <f t="shared" si="14"/>
        <v>0</v>
      </c>
      <c r="Y104" s="290" t="e">
        <f t="shared" si="15"/>
        <v>#NUM!</v>
      </c>
      <c r="Z104" s="290">
        <f t="shared" si="29"/>
        <v>0</v>
      </c>
      <c r="AA104" s="291"/>
      <c r="AC104"/>
      <c r="AD104"/>
      <c r="AE104"/>
      <c r="AF104"/>
      <c r="AG104"/>
      <c r="AH104"/>
      <c r="AI104"/>
      <c r="AJ104"/>
    </row>
    <row r="105" spans="1:36" hidden="1">
      <c r="A105" s="292">
        <f t="shared" si="30"/>
        <v>5</v>
      </c>
      <c r="B105" s="293">
        <f t="shared" si="21"/>
        <v>53</v>
      </c>
      <c r="C105" s="294">
        <f t="shared" si="22"/>
        <v>47635</v>
      </c>
      <c r="D105" s="295">
        <f t="shared" si="17"/>
        <v>4826301.6375778085</v>
      </c>
      <c r="E105" s="295">
        <f t="shared" si="18"/>
        <v>-30010.234142609712</v>
      </c>
      <c r="F105" s="295">
        <f t="shared" si="8"/>
        <v>-6884.2054625493811</v>
      </c>
      <c r="G105" s="295">
        <f t="shared" si="9"/>
        <v>-23126.028680060332</v>
      </c>
      <c r="H105" s="298">
        <f t="shared" si="10"/>
        <v>4819417.4321152586</v>
      </c>
      <c r="J105" s="292">
        <f t="shared" si="31"/>
        <v>5</v>
      </c>
      <c r="K105" s="293">
        <f t="shared" si="23"/>
        <v>53</v>
      </c>
      <c r="L105" s="294">
        <f t="shared" si="24"/>
        <v>1583</v>
      </c>
      <c r="M105" s="295">
        <f t="shared" si="19"/>
        <v>0</v>
      </c>
      <c r="N105" s="295" t="e">
        <f t="shared" si="20"/>
        <v>#NUM!</v>
      </c>
      <c r="O105" s="295">
        <f t="shared" si="11"/>
        <v>0</v>
      </c>
      <c r="P105" s="295">
        <f t="shared" si="12"/>
        <v>0</v>
      </c>
      <c r="Q105" s="298">
        <f t="shared" si="13"/>
        <v>0</v>
      </c>
      <c r="S105" s="292">
        <f t="shared" si="32"/>
        <v>5</v>
      </c>
      <c r="T105" s="293">
        <f t="shared" si="25"/>
        <v>53</v>
      </c>
      <c r="U105" s="294">
        <f t="shared" si="26"/>
        <v>1583</v>
      </c>
      <c r="V105" s="295">
        <f t="shared" si="27"/>
        <v>0</v>
      </c>
      <c r="W105" s="290" t="e">
        <f t="shared" si="28"/>
        <v>#NUM!</v>
      </c>
      <c r="X105" s="295">
        <f t="shared" si="14"/>
        <v>0</v>
      </c>
      <c r="Y105" s="295" t="e">
        <f t="shared" si="15"/>
        <v>#NUM!</v>
      </c>
      <c r="Z105" s="295">
        <f t="shared" si="29"/>
        <v>0</v>
      </c>
      <c r="AA105" s="298"/>
      <c r="AC105"/>
      <c r="AD105"/>
      <c r="AE105"/>
      <c r="AF105"/>
      <c r="AG105"/>
      <c r="AH105"/>
      <c r="AI105"/>
      <c r="AJ105"/>
    </row>
    <row r="106" spans="1:36" hidden="1">
      <c r="A106" s="287">
        <f t="shared" si="30"/>
        <v>5</v>
      </c>
      <c r="B106" s="288">
        <f t="shared" si="21"/>
        <v>54</v>
      </c>
      <c r="C106" s="289">
        <f t="shared" si="22"/>
        <v>47665</v>
      </c>
      <c r="D106" s="290">
        <f t="shared" si="17"/>
        <v>4819417.4321152586</v>
      </c>
      <c r="E106" s="290">
        <f t="shared" si="18"/>
        <v>-30010.234142609712</v>
      </c>
      <c r="F106" s="290">
        <f t="shared" si="8"/>
        <v>-6917.1922803907628</v>
      </c>
      <c r="G106" s="290">
        <f t="shared" si="9"/>
        <v>-23093.04186221895</v>
      </c>
      <c r="H106" s="291">
        <f t="shared" si="10"/>
        <v>4812500.2398348683</v>
      </c>
      <c r="J106" s="287">
        <f t="shared" si="31"/>
        <v>5</v>
      </c>
      <c r="K106" s="288">
        <f t="shared" si="23"/>
        <v>54</v>
      </c>
      <c r="L106" s="289">
        <f t="shared" si="24"/>
        <v>1614</v>
      </c>
      <c r="M106" s="290">
        <f t="shared" si="19"/>
        <v>0</v>
      </c>
      <c r="N106" s="290" t="e">
        <f t="shared" si="20"/>
        <v>#NUM!</v>
      </c>
      <c r="O106" s="290">
        <f t="shared" si="11"/>
        <v>0</v>
      </c>
      <c r="P106" s="290">
        <f t="shared" si="12"/>
        <v>0</v>
      </c>
      <c r="Q106" s="291">
        <f t="shared" si="13"/>
        <v>0</v>
      </c>
      <c r="S106" s="287">
        <f t="shared" si="32"/>
        <v>5</v>
      </c>
      <c r="T106" s="288">
        <f t="shared" si="25"/>
        <v>54</v>
      </c>
      <c r="U106" s="289">
        <f t="shared" si="26"/>
        <v>1614</v>
      </c>
      <c r="V106" s="290">
        <f t="shared" si="27"/>
        <v>0</v>
      </c>
      <c r="W106" s="290" t="e">
        <f t="shared" si="28"/>
        <v>#NUM!</v>
      </c>
      <c r="X106" s="290">
        <f t="shared" si="14"/>
        <v>0</v>
      </c>
      <c r="Y106" s="290" t="e">
        <f t="shared" si="15"/>
        <v>#NUM!</v>
      </c>
      <c r="Z106" s="290">
        <f t="shared" si="29"/>
        <v>0</v>
      </c>
      <c r="AA106" s="291"/>
      <c r="AC106"/>
      <c r="AD106"/>
      <c r="AE106"/>
      <c r="AF106"/>
      <c r="AG106"/>
      <c r="AH106"/>
      <c r="AI106"/>
      <c r="AJ106"/>
    </row>
    <row r="107" spans="1:36" hidden="1">
      <c r="A107" s="292">
        <f t="shared" si="30"/>
        <v>5</v>
      </c>
      <c r="B107" s="293">
        <f t="shared" si="21"/>
        <v>55</v>
      </c>
      <c r="C107" s="294">
        <f t="shared" si="22"/>
        <v>47696</v>
      </c>
      <c r="D107" s="295">
        <f t="shared" si="17"/>
        <v>4812500.2398348683</v>
      </c>
      <c r="E107" s="295">
        <f t="shared" si="18"/>
        <v>-30010.234142609712</v>
      </c>
      <c r="F107" s="295">
        <f t="shared" si="8"/>
        <v>-6950.3371600676346</v>
      </c>
      <c r="G107" s="295">
        <f t="shared" si="9"/>
        <v>-23059.896982542079</v>
      </c>
      <c r="H107" s="296">
        <f t="shared" si="10"/>
        <v>4805549.9026748007</v>
      </c>
      <c r="J107" s="292">
        <f t="shared" si="31"/>
        <v>5</v>
      </c>
      <c r="K107" s="293">
        <f t="shared" si="23"/>
        <v>55</v>
      </c>
      <c r="L107" s="294">
        <f t="shared" si="24"/>
        <v>1644</v>
      </c>
      <c r="M107" s="295">
        <f t="shared" si="19"/>
        <v>0</v>
      </c>
      <c r="N107" s="295" t="e">
        <f t="shared" si="20"/>
        <v>#NUM!</v>
      </c>
      <c r="O107" s="295">
        <f t="shared" si="11"/>
        <v>0</v>
      </c>
      <c r="P107" s="295">
        <f t="shared" si="12"/>
        <v>0</v>
      </c>
      <c r="Q107" s="296">
        <f t="shared" si="13"/>
        <v>0</v>
      </c>
      <c r="S107" s="292">
        <f t="shared" si="32"/>
        <v>5</v>
      </c>
      <c r="T107" s="293">
        <f t="shared" si="25"/>
        <v>55</v>
      </c>
      <c r="U107" s="294">
        <f t="shared" si="26"/>
        <v>1644</v>
      </c>
      <c r="V107" s="295">
        <f t="shared" si="27"/>
        <v>0</v>
      </c>
      <c r="W107" s="290" t="e">
        <f t="shared" si="28"/>
        <v>#NUM!</v>
      </c>
      <c r="X107" s="295">
        <f t="shared" si="14"/>
        <v>0</v>
      </c>
      <c r="Y107" s="295" t="e">
        <f t="shared" si="15"/>
        <v>#NUM!</v>
      </c>
      <c r="Z107" s="295">
        <f t="shared" si="29"/>
        <v>0</v>
      </c>
      <c r="AA107" s="296"/>
      <c r="AC107"/>
      <c r="AD107"/>
      <c r="AE107"/>
      <c r="AF107"/>
      <c r="AG107"/>
      <c r="AH107"/>
      <c r="AI107"/>
      <c r="AJ107"/>
    </row>
    <row r="108" spans="1:36" hidden="1">
      <c r="A108" s="287">
        <f t="shared" si="30"/>
        <v>5</v>
      </c>
      <c r="B108" s="288">
        <f t="shared" si="21"/>
        <v>56</v>
      </c>
      <c r="C108" s="289">
        <f t="shared" si="22"/>
        <v>47727</v>
      </c>
      <c r="D108" s="290">
        <f t="shared" si="17"/>
        <v>4805549.9026748007</v>
      </c>
      <c r="E108" s="290">
        <f t="shared" si="18"/>
        <v>-30010.234142609712</v>
      </c>
      <c r="F108" s="290">
        <f t="shared" si="8"/>
        <v>-6983.6408589596258</v>
      </c>
      <c r="G108" s="290">
        <f t="shared" si="9"/>
        <v>-23026.593283650091</v>
      </c>
      <c r="H108" s="291">
        <f t="shared" si="10"/>
        <v>4798566.2618158413</v>
      </c>
      <c r="J108" s="287">
        <f t="shared" si="31"/>
        <v>5</v>
      </c>
      <c r="K108" s="288">
        <f t="shared" si="23"/>
        <v>56</v>
      </c>
      <c r="L108" s="289">
        <f t="shared" si="24"/>
        <v>1675</v>
      </c>
      <c r="M108" s="290">
        <f t="shared" si="19"/>
        <v>0</v>
      </c>
      <c r="N108" s="290" t="e">
        <f t="shared" si="20"/>
        <v>#NUM!</v>
      </c>
      <c r="O108" s="290">
        <f t="shared" si="11"/>
        <v>0</v>
      </c>
      <c r="P108" s="290">
        <f t="shared" si="12"/>
        <v>0</v>
      </c>
      <c r="Q108" s="291">
        <f t="shared" si="13"/>
        <v>0</v>
      </c>
      <c r="S108" s="287">
        <f t="shared" si="32"/>
        <v>5</v>
      </c>
      <c r="T108" s="288">
        <f t="shared" si="25"/>
        <v>56</v>
      </c>
      <c r="U108" s="289">
        <f t="shared" si="26"/>
        <v>1675</v>
      </c>
      <c r="V108" s="290">
        <f t="shared" si="27"/>
        <v>0</v>
      </c>
      <c r="W108" s="290" t="e">
        <f t="shared" si="28"/>
        <v>#NUM!</v>
      </c>
      <c r="X108" s="290">
        <f t="shared" si="14"/>
        <v>0</v>
      </c>
      <c r="Y108" s="290" t="e">
        <f t="shared" si="15"/>
        <v>#NUM!</v>
      </c>
      <c r="Z108" s="290">
        <f t="shared" si="29"/>
        <v>0</v>
      </c>
      <c r="AA108" s="291"/>
      <c r="AC108"/>
      <c r="AD108"/>
      <c r="AE108"/>
      <c r="AF108"/>
      <c r="AG108"/>
      <c r="AH108"/>
      <c r="AI108"/>
      <c r="AJ108"/>
    </row>
    <row r="109" spans="1:36" hidden="1">
      <c r="A109" s="292">
        <f t="shared" si="30"/>
        <v>5</v>
      </c>
      <c r="B109" s="293">
        <f t="shared" si="21"/>
        <v>57</v>
      </c>
      <c r="C109" s="294">
        <f t="shared" si="22"/>
        <v>47757</v>
      </c>
      <c r="D109" s="295">
        <f t="shared" si="17"/>
        <v>4798566.2618158413</v>
      </c>
      <c r="E109" s="295">
        <f t="shared" si="18"/>
        <v>-30010.234142609712</v>
      </c>
      <c r="F109" s="295">
        <f t="shared" si="8"/>
        <v>-7017.1041380754741</v>
      </c>
      <c r="G109" s="295">
        <f t="shared" si="9"/>
        <v>-22993.130004534236</v>
      </c>
      <c r="H109" s="298">
        <f t="shared" si="10"/>
        <v>4791549.1576777659</v>
      </c>
      <c r="J109" s="292">
        <f t="shared" si="31"/>
        <v>5</v>
      </c>
      <c r="K109" s="293">
        <f t="shared" si="23"/>
        <v>57</v>
      </c>
      <c r="L109" s="294">
        <f t="shared" si="24"/>
        <v>1706</v>
      </c>
      <c r="M109" s="295">
        <f t="shared" si="19"/>
        <v>0</v>
      </c>
      <c r="N109" s="295" t="e">
        <f t="shared" si="20"/>
        <v>#NUM!</v>
      </c>
      <c r="O109" s="295">
        <f t="shared" si="11"/>
        <v>0</v>
      </c>
      <c r="P109" s="295">
        <f t="shared" si="12"/>
        <v>0</v>
      </c>
      <c r="Q109" s="298">
        <f t="shared" si="13"/>
        <v>0</v>
      </c>
      <c r="S109" s="292">
        <f t="shared" si="32"/>
        <v>5</v>
      </c>
      <c r="T109" s="293">
        <f t="shared" si="25"/>
        <v>57</v>
      </c>
      <c r="U109" s="294">
        <f t="shared" si="26"/>
        <v>1706</v>
      </c>
      <c r="V109" s="295">
        <f t="shared" si="27"/>
        <v>0</v>
      </c>
      <c r="W109" s="290" t="e">
        <f t="shared" si="28"/>
        <v>#NUM!</v>
      </c>
      <c r="X109" s="295">
        <f t="shared" si="14"/>
        <v>0</v>
      </c>
      <c r="Y109" s="295" t="e">
        <f t="shared" si="15"/>
        <v>#NUM!</v>
      </c>
      <c r="Z109" s="295">
        <f t="shared" si="29"/>
        <v>0</v>
      </c>
      <c r="AA109" s="298"/>
      <c r="AC109"/>
      <c r="AD109"/>
      <c r="AE109"/>
      <c r="AF109"/>
      <c r="AG109"/>
      <c r="AH109"/>
      <c r="AI109"/>
      <c r="AJ109"/>
    </row>
    <row r="110" spans="1:36" hidden="1">
      <c r="A110" s="287">
        <f t="shared" si="30"/>
        <v>5</v>
      </c>
      <c r="B110" s="288">
        <f t="shared" si="21"/>
        <v>58</v>
      </c>
      <c r="C110" s="289">
        <f t="shared" si="22"/>
        <v>47788</v>
      </c>
      <c r="D110" s="290">
        <f t="shared" si="17"/>
        <v>4791549.1576777659</v>
      </c>
      <c r="E110" s="290">
        <f t="shared" si="18"/>
        <v>-30010.234142609712</v>
      </c>
      <c r="F110" s="290">
        <f t="shared" si="8"/>
        <v>-7050.7277620704181</v>
      </c>
      <c r="G110" s="290">
        <f t="shared" si="9"/>
        <v>-22959.506380539293</v>
      </c>
      <c r="H110" s="291">
        <f t="shared" si="10"/>
        <v>4784498.4299156955</v>
      </c>
      <c r="J110" s="287">
        <f t="shared" si="31"/>
        <v>5</v>
      </c>
      <c r="K110" s="288">
        <f t="shared" si="23"/>
        <v>58</v>
      </c>
      <c r="L110" s="289">
        <f t="shared" si="24"/>
        <v>1736</v>
      </c>
      <c r="M110" s="290">
        <f t="shared" si="19"/>
        <v>0</v>
      </c>
      <c r="N110" s="290" t="e">
        <f t="shared" si="20"/>
        <v>#NUM!</v>
      </c>
      <c r="O110" s="290">
        <f t="shared" si="11"/>
        <v>0</v>
      </c>
      <c r="P110" s="290">
        <f t="shared" si="12"/>
        <v>0</v>
      </c>
      <c r="Q110" s="291">
        <f t="shared" si="13"/>
        <v>0</v>
      </c>
      <c r="S110" s="287">
        <f t="shared" si="32"/>
        <v>5</v>
      </c>
      <c r="T110" s="288">
        <f t="shared" si="25"/>
        <v>58</v>
      </c>
      <c r="U110" s="289">
        <f t="shared" si="26"/>
        <v>1736</v>
      </c>
      <c r="V110" s="290">
        <f t="shared" si="27"/>
        <v>0</v>
      </c>
      <c r="W110" s="290" t="e">
        <f t="shared" si="28"/>
        <v>#NUM!</v>
      </c>
      <c r="X110" s="290">
        <f t="shared" si="14"/>
        <v>0</v>
      </c>
      <c r="Y110" s="290" t="e">
        <f t="shared" si="15"/>
        <v>#NUM!</v>
      </c>
      <c r="Z110" s="290">
        <f t="shared" si="29"/>
        <v>0</v>
      </c>
      <c r="AA110" s="291"/>
      <c r="AC110"/>
      <c r="AD110"/>
      <c r="AE110"/>
      <c r="AF110"/>
      <c r="AG110"/>
      <c r="AH110"/>
      <c r="AI110"/>
      <c r="AJ110"/>
    </row>
    <row r="111" spans="1:36" hidden="1">
      <c r="A111" s="292">
        <f t="shared" si="30"/>
        <v>5</v>
      </c>
      <c r="B111" s="293">
        <f t="shared" si="21"/>
        <v>59</v>
      </c>
      <c r="C111" s="294">
        <f t="shared" si="22"/>
        <v>47818</v>
      </c>
      <c r="D111" s="295">
        <f t="shared" si="17"/>
        <v>4784498.4299156955</v>
      </c>
      <c r="E111" s="295">
        <f t="shared" si="18"/>
        <v>-30010.234142609712</v>
      </c>
      <c r="F111" s="295">
        <f t="shared" si="8"/>
        <v>-7084.5124992636729</v>
      </c>
      <c r="G111" s="295">
        <f t="shared" si="9"/>
        <v>-22925.721643346038</v>
      </c>
      <c r="H111" s="296">
        <f t="shared" si="10"/>
        <v>4777413.9174164319</v>
      </c>
      <c r="J111" s="292">
        <f t="shared" si="31"/>
        <v>5</v>
      </c>
      <c r="K111" s="293">
        <f t="shared" si="23"/>
        <v>59</v>
      </c>
      <c r="L111" s="294">
        <f t="shared" si="24"/>
        <v>1767</v>
      </c>
      <c r="M111" s="295">
        <f t="shared" si="19"/>
        <v>0</v>
      </c>
      <c r="N111" s="295" t="e">
        <f t="shared" si="20"/>
        <v>#NUM!</v>
      </c>
      <c r="O111" s="295">
        <f t="shared" si="11"/>
        <v>0</v>
      </c>
      <c r="P111" s="295">
        <f t="shared" si="12"/>
        <v>0</v>
      </c>
      <c r="Q111" s="296">
        <f t="shared" si="13"/>
        <v>0</v>
      </c>
      <c r="S111" s="292">
        <f t="shared" si="32"/>
        <v>5</v>
      </c>
      <c r="T111" s="293">
        <f t="shared" si="25"/>
        <v>59</v>
      </c>
      <c r="U111" s="294">
        <f t="shared" si="26"/>
        <v>1767</v>
      </c>
      <c r="V111" s="295">
        <f t="shared" si="27"/>
        <v>0</v>
      </c>
      <c r="W111" s="290" t="e">
        <f t="shared" si="28"/>
        <v>#NUM!</v>
      </c>
      <c r="X111" s="295">
        <f t="shared" si="14"/>
        <v>0</v>
      </c>
      <c r="Y111" s="295" t="e">
        <f t="shared" si="15"/>
        <v>#NUM!</v>
      </c>
      <c r="Z111" s="295">
        <f t="shared" si="29"/>
        <v>0</v>
      </c>
      <c r="AA111" s="296"/>
      <c r="AC111"/>
      <c r="AD111"/>
      <c r="AE111"/>
      <c r="AF111"/>
      <c r="AG111"/>
      <c r="AH111"/>
      <c r="AI111"/>
      <c r="AJ111"/>
    </row>
    <row r="112" spans="1:36" hidden="1">
      <c r="A112" s="287">
        <f t="shared" si="30"/>
        <v>5</v>
      </c>
      <c r="B112" s="288">
        <f t="shared" si="21"/>
        <v>60</v>
      </c>
      <c r="C112" s="289">
        <f t="shared" si="22"/>
        <v>47849</v>
      </c>
      <c r="D112" s="290">
        <f t="shared" si="17"/>
        <v>4777413.9174164319</v>
      </c>
      <c r="E112" s="290">
        <f t="shared" si="18"/>
        <v>-30010.234142609712</v>
      </c>
      <c r="F112" s="290">
        <f t="shared" si="8"/>
        <v>-7118.4591216559784</v>
      </c>
      <c r="G112" s="290">
        <f t="shared" si="9"/>
        <v>-22891.775020953733</v>
      </c>
      <c r="H112" s="291">
        <f t="shared" si="10"/>
        <v>4770295.4582947763</v>
      </c>
      <c r="J112" s="287">
        <f t="shared" si="31"/>
        <v>5</v>
      </c>
      <c r="K112" s="288">
        <f t="shared" si="23"/>
        <v>60</v>
      </c>
      <c r="L112" s="289">
        <f t="shared" si="24"/>
        <v>1797</v>
      </c>
      <c r="M112" s="290">
        <f t="shared" si="19"/>
        <v>0</v>
      </c>
      <c r="N112" s="290" t="e">
        <f t="shared" si="20"/>
        <v>#NUM!</v>
      </c>
      <c r="O112" s="290">
        <f t="shared" si="11"/>
        <v>0</v>
      </c>
      <c r="P112" s="290">
        <f t="shared" si="12"/>
        <v>0</v>
      </c>
      <c r="Q112" s="291">
        <f t="shared" si="13"/>
        <v>0</v>
      </c>
      <c r="S112" s="287">
        <f t="shared" si="32"/>
        <v>5</v>
      </c>
      <c r="T112" s="288">
        <f t="shared" si="25"/>
        <v>60</v>
      </c>
      <c r="U112" s="289">
        <f t="shared" si="26"/>
        <v>1797</v>
      </c>
      <c r="V112" s="290">
        <f t="shared" si="27"/>
        <v>0</v>
      </c>
      <c r="W112" s="290" t="e">
        <f t="shared" si="28"/>
        <v>#NUM!</v>
      </c>
      <c r="X112" s="290">
        <f t="shared" si="14"/>
        <v>0</v>
      </c>
      <c r="Y112" s="290" t="e">
        <f t="shared" si="15"/>
        <v>#NUM!</v>
      </c>
      <c r="Z112" s="290">
        <f t="shared" si="29"/>
        <v>0</v>
      </c>
      <c r="AA112" s="291"/>
      <c r="AC112"/>
      <c r="AD112"/>
      <c r="AE112"/>
      <c r="AF112"/>
      <c r="AG112"/>
      <c r="AH112"/>
      <c r="AI112"/>
      <c r="AJ112"/>
    </row>
    <row r="113" spans="1:36" hidden="1">
      <c r="A113" s="292">
        <f t="shared" si="30"/>
        <v>6</v>
      </c>
      <c r="B113" s="293">
        <f t="shared" si="21"/>
        <v>61</v>
      </c>
      <c r="C113" s="294">
        <f t="shared" si="22"/>
        <v>47880</v>
      </c>
      <c r="D113" s="295">
        <f t="shared" si="17"/>
        <v>4770295.4582947763</v>
      </c>
      <c r="E113" s="295">
        <f t="shared" si="18"/>
        <v>-30010.234142609712</v>
      </c>
      <c r="F113" s="295">
        <f t="shared" si="8"/>
        <v>-7152.5684049472457</v>
      </c>
      <c r="G113" s="295">
        <f t="shared" si="9"/>
        <v>-22857.665737662468</v>
      </c>
      <c r="H113" s="298">
        <f t="shared" si="10"/>
        <v>4763142.8898898289</v>
      </c>
      <c r="J113" s="292">
        <f t="shared" si="31"/>
        <v>6</v>
      </c>
      <c r="K113" s="293">
        <f t="shared" si="23"/>
        <v>61</v>
      </c>
      <c r="L113" s="294">
        <f t="shared" si="24"/>
        <v>1828</v>
      </c>
      <c r="M113" s="295">
        <f t="shared" si="19"/>
        <v>0</v>
      </c>
      <c r="N113" s="295" t="e">
        <f t="shared" si="20"/>
        <v>#NUM!</v>
      </c>
      <c r="O113" s="295">
        <f t="shared" si="11"/>
        <v>0</v>
      </c>
      <c r="P113" s="295">
        <f t="shared" si="12"/>
        <v>0</v>
      </c>
      <c r="Q113" s="298">
        <f t="shared" si="13"/>
        <v>0</v>
      </c>
      <c r="S113" s="292">
        <f t="shared" si="32"/>
        <v>6</v>
      </c>
      <c r="T113" s="293">
        <f t="shared" si="25"/>
        <v>61</v>
      </c>
      <c r="U113" s="294">
        <f t="shared" si="26"/>
        <v>1828</v>
      </c>
      <c r="V113" s="295">
        <f t="shared" si="27"/>
        <v>0</v>
      </c>
      <c r="W113" s="290" t="e">
        <f t="shared" si="28"/>
        <v>#NUM!</v>
      </c>
      <c r="X113" s="295">
        <f t="shared" si="14"/>
        <v>0</v>
      </c>
      <c r="Y113" s="295" t="e">
        <f t="shared" si="15"/>
        <v>#NUM!</v>
      </c>
      <c r="Z113" s="295">
        <f t="shared" si="29"/>
        <v>0</v>
      </c>
      <c r="AA113" s="298"/>
      <c r="AC113"/>
      <c r="AD113"/>
      <c r="AE113"/>
      <c r="AF113"/>
      <c r="AG113"/>
      <c r="AH113"/>
      <c r="AI113"/>
      <c r="AJ113"/>
    </row>
    <row r="114" spans="1:36" hidden="1">
      <c r="A114" s="287">
        <f t="shared" si="30"/>
        <v>6</v>
      </c>
      <c r="B114" s="288">
        <f t="shared" si="21"/>
        <v>62</v>
      </c>
      <c r="C114" s="289">
        <f t="shared" si="22"/>
        <v>47908</v>
      </c>
      <c r="D114" s="290">
        <f t="shared" si="17"/>
        <v>4763142.8898898289</v>
      </c>
      <c r="E114" s="290">
        <f t="shared" si="18"/>
        <v>-30010.234142609712</v>
      </c>
      <c r="F114" s="290">
        <f t="shared" si="8"/>
        <v>-7186.8411285542852</v>
      </c>
      <c r="G114" s="290">
        <f t="shared" si="9"/>
        <v>-22823.393014055429</v>
      </c>
      <c r="H114" s="291">
        <f t="shared" si="10"/>
        <v>4755956.0487612747</v>
      </c>
      <c r="J114" s="287">
        <f t="shared" si="31"/>
        <v>6</v>
      </c>
      <c r="K114" s="288">
        <f t="shared" si="23"/>
        <v>62</v>
      </c>
      <c r="L114" s="289">
        <f t="shared" si="24"/>
        <v>1859</v>
      </c>
      <c r="M114" s="290">
        <f t="shared" si="19"/>
        <v>0</v>
      </c>
      <c r="N114" s="290" t="e">
        <f t="shared" si="20"/>
        <v>#NUM!</v>
      </c>
      <c r="O114" s="290">
        <f t="shared" si="11"/>
        <v>0</v>
      </c>
      <c r="P114" s="290">
        <f t="shared" si="12"/>
        <v>0</v>
      </c>
      <c r="Q114" s="291">
        <f t="shared" si="13"/>
        <v>0</v>
      </c>
      <c r="S114" s="287">
        <f t="shared" si="32"/>
        <v>6</v>
      </c>
      <c r="T114" s="288">
        <f t="shared" si="25"/>
        <v>62</v>
      </c>
      <c r="U114" s="289">
        <f t="shared" si="26"/>
        <v>1859</v>
      </c>
      <c r="V114" s="290">
        <f t="shared" si="27"/>
        <v>0</v>
      </c>
      <c r="W114" s="290" t="e">
        <f t="shared" si="28"/>
        <v>#NUM!</v>
      </c>
      <c r="X114" s="290">
        <f t="shared" si="14"/>
        <v>0</v>
      </c>
      <c r="Y114" s="290" t="e">
        <f t="shared" si="15"/>
        <v>#NUM!</v>
      </c>
      <c r="Z114" s="290">
        <f t="shared" si="29"/>
        <v>0</v>
      </c>
      <c r="AA114" s="291"/>
      <c r="AC114"/>
      <c r="AD114"/>
      <c r="AE114"/>
      <c r="AF114"/>
      <c r="AG114"/>
      <c r="AH114"/>
      <c r="AI114"/>
      <c r="AJ114"/>
    </row>
    <row r="115" spans="1:36" hidden="1">
      <c r="A115" s="292">
        <f t="shared" si="30"/>
        <v>6</v>
      </c>
      <c r="B115" s="293">
        <f t="shared" si="21"/>
        <v>63</v>
      </c>
      <c r="C115" s="294">
        <f t="shared" si="22"/>
        <v>47939</v>
      </c>
      <c r="D115" s="295">
        <f t="shared" si="17"/>
        <v>4755956.0487612747</v>
      </c>
      <c r="E115" s="295">
        <f t="shared" si="18"/>
        <v>-30010.234142609712</v>
      </c>
      <c r="F115" s="295">
        <f t="shared" si="8"/>
        <v>-7221.2780756286083</v>
      </c>
      <c r="G115" s="295">
        <f t="shared" si="9"/>
        <v>-22788.956066981107</v>
      </c>
      <c r="H115" s="296">
        <f t="shared" si="10"/>
        <v>4748734.7706856458</v>
      </c>
      <c r="J115" s="292">
        <f t="shared" si="31"/>
        <v>6</v>
      </c>
      <c r="K115" s="293">
        <f t="shared" si="23"/>
        <v>63</v>
      </c>
      <c r="L115" s="294">
        <f t="shared" si="24"/>
        <v>1887</v>
      </c>
      <c r="M115" s="295">
        <f t="shared" si="19"/>
        <v>0</v>
      </c>
      <c r="N115" s="295" t="e">
        <f t="shared" si="20"/>
        <v>#NUM!</v>
      </c>
      <c r="O115" s="295">
        <f t="shared" si="11"/>
        <v>0</v>
      </c>
      <c r="P115" s="295">
        <f t="shared" si="12"/>
        <v>0</v>
      </c>
      <c r="Q115" s="296">
        <f t="shared" si="13"/>
        <v>0</v>
      </c>
      <c r="S115" s="292">
        <f t="shared" si="32"/>
        <v>6</v>
      </c>
      <c r="T115" s="293">
        <f t="shared" si="25"/>
        <v>63</v>
      </c>
      <c r="U115" s="294">
        <f t="shared" si="26"/>
        <v>1887</v>
      </c>
      <c r="V115" s="295">
        <f t="shared" si="27"/>
        <v>0</v>
      </c>
      <c r="W115" s="290" t="e">
        <f t="shared" si="28"/>
        <v>#NUM!</v>
      </c>
      <c r="X115" s="295">
        <f t="shared" si="14"/>
        <v>0</v>
      </c>
      <c r="Y115" s="295" t="e">
        <f t="shared" si="15"/>
        <v>#NUM!</v>
      </c>
      <c r="Z115" s="295">
        <f t="shared" si="29"/>
        <v>0</v>
      </c>
      <c r="AA115" s="296"/>
      <c r="AC115"/>
      <c r="AD115"/>
      <c r="AE115"/>
      <c r="AF115"/>
      <c r="AG115"/>
      <c r="AH115"/>
      <c r="AI115"/>
      <c r="AJ115"/>
    </row>
    <row r="116" spans="1:36" hidden="1">
      <c r="A116" s="287">
        <f t="shared" si="30"/>
        <v>6</v>
      </c>
      <c r="B116" s="288">
        <f t="shared" si="21"/>
        <v>64</v>
      </c>
      <c r="C116" s="289">
        <f t="shared" si="22"/>
        <v>47969</v>
      </c>
      <c r="D116" s="290">
        <f t="shared" si="17"/>
        <v>4748734.7706856458</v>
      </c>
      <c r="E116" s="290">
        <f t="shared" si="18"/>
        <v>-30010.234142609712</v>
      </c>
      <c r="F116" s="290">
        <f t="shared" si="8"/>
        <v>-7255.880033074327</v>
      </c>
      <c r="G116" s="290">
        <f t="shared" si="9"/>
        <v>-22754.354109535383</v>
      </c>
      <c r="H116" s="291">
        <f t="shared" si="10"/>
        <v>4741478.8906525718</v>
      </c>
      <c r="J116" s="287">
        <f t="shared" si="31"/>
        <v>6</v>
      </c>
      <c r="K116" s="288">
        <f t="shared" si="23"/>
        <v>64</v>
      </c>
      <c r="L116" s="289">
        <f t="shared" si="24"/>
        <v>1918</v>
      </c>
      <c r="M116" s="290">
        <f t="shared" si="19"/>
        <v>0</v>
      </c>
      <c r="N116" s="290" t="e">
        <f t="shared" si="20"/>
        <v>#NUM!</v>
      </c>
      <c r="O116" s="290">
        <f t="shared" si="11"/>
        <v>0</v>
      </c>
      <c r="P116" s="290">
        <f t="shared" si="12"/>
        <v>0</v>
      </c>
      <c r="Q116" s="291">
        <f t="shared" si="13"/>
        <v>0</v>
      </c>
      <c r="S116" s="287">
        <f t="shared" si="32"/>
        <v>6</v>
      </c>
      <c r="T116" s="288">
        <f t="shared" si="25"/>
        <v>64</v>
      </c>
      <c r="U116" s="289">
        <f t="shared" si="26"/>
        <v>1918</v>
      </c>
      <c r="V116" s="290">
        <f t="shared" si="27"/>
        <v>0</v>
      </c>
      <c r="W116" s="290" t="e">
        <f t="shared" si="28"/>
        <v>#NUM!</v>
      </c>
      <c r="X116" s="290">
        <f t="shared" si="14"/>
        <v>0</v>
      </c>
      <c r="Y116" s="290" t="e">
        <f t="shared" si="15"/>
        <v>#NUM!</v>
      </c>
      <c r="Z116" s="290">
        <f t="shared" si="29"/>
        <v>0</v>
      </c>
      <c r="AA116" s="291"/>
      <c r="AC116"/>
      <c r="AD116"/>
      <c r="AE116"/>
      <c r="AF116"/>
      <c r="AG116"/>
      <c r="AH116"/>
      <c r="AI116"/>
      <c r="AJ116"/>
    </row>
    <row r="117" spans="1:36" hidden="1">
      <c r="A117" s="292">
        <f t="shared" si="30"/>
        <v>6</v>
      </c>
      <c r="B117" s="293">
        <f t="shared" si="21"/>
        <v>65</v>
      </c>
      <c r="C117" s="294">
        <f t="shared" si="22"/>
        <v>48000</v>
      </c>
      <c r="D117" s="295">
        <f t="shared" si="17"/>
        <v>4741478.8906525718</v>
      </c>
      <c r="E117" s="295">
        <f t="shared" si="18"/>
        <v>-30010.234142609712</v>
      </c>
      <c r="F117" s="295">
        <f t="shared" ref="F117:F180" si="33">IF(AND(SwitchRefi="Yes",OR(C117=0,C117&gt;=$I$10)),0,IFERROR(PPMT(IF(SwitchCompound="Monthly",$E$13/12,($E$13/2+1)^(2/12)-1),B117,$E$17*12,$D$53),0))</f>
        <v>-7290.6477915661426</v>
      </c>
      <c r="G117" s="295">
        <f t="shared" ref="G117:G180" si="34">IF(AND(SwitchRefi="Yes",OR(C117=0,C117&gt;=$I$10)),0,IFERROR(IPMT(IF(SwitchCompound="Monthly",$E$13/12,($E$13/2+1)^(2/12)-1),IF(B117=0,1,B117),$E$17*12,$D$53),0))</f>
        <v>-22719.586351043567</v>
      </c>
      <c r="H117" s="298">
        <f t="shared" ref="H117:H180" si="35">IF(AND(SwitchRefi="Yes",C117&gt;=$I$10),0,D117+F117)</f>
        <v>4734188.2428610055</v>
      </c>
      <c r="J117" s="292">
        <f t="shared" si="31"/>
        <v>6</v>
      </c>
      <c r="K117" s="293">
        <f t="shared" si="23"/>
        <v>65</v>
      </c>
      <c r="L117" s="294">
        <f t="shared" si="24"/>
        <v>1948</v>
      </c>
      <c r="M117" s="295">
        <f t="shared" si="19"/>
        <v>0</v>
      </c>
      <c r="N117" s="295" t="e">
        <f t="shared" si="20"/>
        <v>#NUM!</v>
      </c>
      <c r="O117" s="295">
        <f t="shared" ref="O117:O180" si="36">IF(AND(SwitchRefi="Yes",OR(L117=0,L117&gt;=$I$10)),0,IFERROR(PPMT(IF(SwitchCompound="Monthly",$G$13/12,($G$13/2+1)^(2/12)-1),K117,$G$17*12,$M$53),0))</f>
        <v>0</v>
      </c>
      <c r="P117" s="295">
        <f t="shared" ref="P117:P180" si="37">IF(AND(SwitchRefi="Yes",OR(L117=0,L117&gt;=$I$10)),0,IFERROR(IPMT(IF(SwitchCompound="Monthly",$G$13/12,($G$13/2+1)^(2/12)-1),IF(K117=0,1,K117),$G$17*12,$M$53),0))</f>
        <v>0</v>
      </c>
      <c r="Q117" s="298">
        <f t="shared" ref="Q117:Q180" si="38">IF(AND(SwitchRefi="Yes",L117&gt;=$I$10),0,M117+O117)</f>
        <v>0</v>
      </c>
      <c r="S117" s="292">
        <f t="shared" si="32"/>
        <v>6</v>
      </c>
      <c r="T117" s="293">
        <f t="shared" si="25"/>
        <v>65</v>
      </c>
      <c r="U117" s="294">
        <f t="shared" si="26"/>
        <v>1948</v>
      </c>
      <c r="V117" s="295">
        <f t="shared" si="27"/>
        <v>0</v>
      </c>
      <c r="W117" s="290" t="e">
        <f t="shared" si="28"/>
        <v>#NUM!</v>
      </c>
      <c r="X117" s="295">
        <f t="shared" ref="X117:X180" si="39">IFERROR(PPMT(IF(SwitchCompound="Monthly",$I$13/12,($I$13/2+1)^(2/12)-1),T117,$I$17*12,$V$53),0)</f>
        <v>0</v>
      </c>
      <c r="Y117" s="295" t="e">
        <f t="shared" ref="Y117:Y180" si="40">IPMT(IF(SwitchCompound="Monthly",$I$13/12,($I$13/2+1)^(2/12)-1),IF(T117=0,1,T117),$I$17*12,$V$53)</f>
        <v>#NUM!</v>
      </c>
      <c r="Z117" s="295">
        <f t="shared" si="29"/>
        <v>0</v>
      </c>
      <c r="AA117" s="298"/>
      <c r="AC117"/>
      <c r="AD117"/>
      <c r="AE117"/>
      <c r="AF117"/>
      <c r="AG117"/>
      <c r="AH117"/>
      <c r="AI117"/>
      <c r="AJ117"/>
    </row>
    <row r="118" spans="1:36" hidden="1">
      <c r="A118" s="287">
        <f t="shared" si="30"/>
        <v>6</v>
      </c>
      <c r="B118" s="288">
        <f t="shared" si="21"/>
        <v>66</v>
      </c>
      <c r="C118" s="289">
        <f t="shared" si="22"/>
        <v>48030</v>
      </c>
      <c r="D118" s="290">
        <f t="shared" ref="D118:D181" si="41">IF(AND(SwitchRefi="Yes",C118&gt;=$I$10),0,H117)</f>
        <v>4734188.2428610055</v>
      </c>
      <c r="E118" s="290">
        <f t="shared" ref="E118:E181" si="42">IF(AND(SwitchRefi="Yes",OR(C118=0,C118&gt;=$I$10)),0,$E$53)</f>
        <v>-30010.234142609712</v>
      </c>
      <c r="F118" s="290">
        <f t="shared" si="33"/>
        <v>-7325.5821455673977</v>
      </c>
      <c r="G118" s="290">
        <f t="shared" si="34"/>
        <v>-22684.651997042314</v>
      </c>
      <c r="H118" s="291">
        <f t="shared" si="35"/>
        <v>4726862.6607154384</v>
      </c>
      <c r="J118" s="287">
        <f t="shared" si="31"/>
        <v>6</v>
      </c>
      <c r="K118" s="288">
        <f t="shared" si="23"/>
        <v>66</v>
      </c>
      <c r="L118" s="289">
        <f t="shared" si="24"/>
        <v>1979</v>
      </c>
      <c r="M118" s="290">
        <f t="shared" ref="M118:M181" si="43">IF(AND(SwitchRefi="Yes",L118&gt;=$I$10),0,Q117)</f>
        <v>0</v>
      </c>
      <c r="N118" s="290" t="e">
        <f t="shared" ref="N118:N181" si="44">IF(AND(SwitchRefi="Yes",OR(L118=0,L118&gt;=$I$10)),0,$N$53)</f>
        <v>#NUM!</v>
      </c>
      <c r="O118" s="290">
        <f t="shared" si="36"/>
        <v>0</v>
      </c>
      <c r="P118" s="290">
        <f t="shared" si="37"/>
        <v>0</v>
      </c>
      <c r="Q118" s="291">
        <f t="shared" si="38"/>
        <v>0</v>
      </c>
      <c r="S118" s="287">
        <f t="shared" si="32"/>
        <v>6</v>
      </c>
      <c r="T118" s="288">
        <f t="shared" si="25"/>
        <v>66</v>
      </c>
      <c r="U118" s="289">
        <f t="shared" si="26"/>
        <v>1979</v>
      </c>
      <c r="V118" s="290">
        <f t="shared" si="27"/>
        <v>0</v>
      </c>
      <c r="W118" s="290" t="e">
        <f t="shared" si="28"/>
        <v>#NUM!</v>
      </c>
      <c r="X118" s="290">
        <f t="shared" si="39"/>
        <v>0</v>
      </c>
      <c r="Y118" s="290" t="e">
        <f t="shared" si="40"/>
        <v>#NUM!</v>
      </c>
      <c r="Z118" s="290">
        <f t="shared" si="29"/>
        <v>0</v>
      </c>
      <c r="AA118" s="291"/>
      <c r="AC118"/>
      <c r="AD118"/>
      <c r="AE118"/>
      <c r="AF118"/>
      <c r="AG118"/>
      <c r="AH118"/>
      <c r="AI118"/>
      <c r="AJ118"/>
    </row>
    <row r="119" spans="1:36" hidden="1">
      <c r="A119" s="292">
        <f t="shared" si="30"/>
        <v>6</v>
      </c>
      <c r="B119" s="293">
        <f t="shared" ref="B119:B182" si="45">IF(B118=0,IF(C119&lt;$C$413,0,B118+1),IF(C118&gt;=$C$413,B118+1,0))</f>
        <v>67</v>
      </c>
      <c r="C119" s="294">
        <f t="shared" ref="C119:C182" si="46">EDATE(C118,1)</f>
        <v>48061</v>
      </c>
      <c r="D119" s="295">
        <f t="shared" si="41"/>
        <v>4726862.6607154384</v>
      </c>
      <c r="E119" s="295">
        <f t="shared" si="42"/>
        <v>-30010.234142609712</v>
      </c>
      <c r="F119" s="295">
        <f t="shared" si="33"/>
        <v>-7360.6838933482404</v>
      </c>
      <c r="G119" s="295">
        <f t="shared" si="34"/>
        <v>-22649.550249261472</v>
      </c>
      <c r="H119" s="296">
        <f t="shared" si="35"/>
        <v>4719501.9768220903</v>
      </c>
      <c r="J119" s="292">
        <f t="shared" si="31"/>
        <v>6</v>
      </c>
      <c r="K119" s="293">
        <f t="shared" ref="K119:K182" si="47">IF(K118=0,IF(L119&lt;$L$413,0,K118+1),IF(L118&gt;=$L$413,K118+1,0))</f>
        <v>67</v>
      </c>
      <c r="L119" s="294">
        <f t="shared" ref="L119:L182" si="48">EDATE(L118,1)</f>
        <v>2009</v>
      </c>
      <c r="M119" s="295">
        <f t="shared" si="43"/>
        <v>0</v>
      </c>
      <c r="N119" s="295" t="e">
        <f t="shared" si="44"/>
        <v>#NUM!</v>
      </c>
      <c r="O119" s="295">
        <f t="shared" si="36"/>
        <v>0</v>
      </c>
      <c r="P119" s="295">
        <f t="shared" si="37"/>
        <v>0</v>
      </c>
      <c r="Q119" s="296">
        <f t="shared" si="38"/>
        <v>0</v>
      </c>
      <c r="S119" s="292">
        <f t="shared" si="32"/>
        <v>6</v>
      </c>
      <c r="T119" s="293">
        <f t="shared" ref="T119:T182" si="49">IF(T118=0,IF(U119&lt;$V$413,0,T118+1),IF(U118&gt;=$V$413,T118+1,0))</f>
        <v>67</v>
      </c>
      <c r="U119" s="294">
        <f t="shared" ref="U119:U182" si="50">EDATE(U118,1)</f>
        <v>2009</v>
      </c>
      <c r="V119" s="295">
        <f t="shared" ref="V119:V182" si="51">Z118</f>
        <v>0</v>
      </c>
      <c r="W119" s="290" t="e">
        <f t="shared" ref="W119:W182" si="52">$W$53</f>
        <v>#NUM!</v>
      </c>
      <c r="X119" s="295">
        <f t="shared" si="39"/>
        <v>0</v>
      </c>
      <c r="Y119" s="295" t="e">
        <f t="shared" si="40"/>
        <v>#NUM!</v>
      </c>
      <c r="Z119" s="295">
        <f t="shared" si="29"/>
        <v>0</v>
      </c>
      <c r="AA119" s="296"/>
      <c r="AC119"/>
      <c r="AD119"/>
      <c r="AE119"/>
      <c r="AF119"/>
      <c r="AG119"/>
      <c r="AH119"/>
      <c r="AI119"/>
      <c r="AJ119"/>
    </row>
    <row r="120" spans="1:36" hidden="1">
      <c r="A120" s="287">
        <f t="shared" si="30"/>
        <v>6</v>
      </c>
      <c r="B120" s="288">
        <f t="shared" si="45"/>
        <v>68</v>
      </c>
      <c r="C120" s="289">
        <f t="shared" si="46"/>
        <v>48092</v>
      </c>
      <c r="D120" s="290">
        <f t="shared" si="41"/>
        <v>4719501.9768220903</v>
      </c>
      <c r="E120" s="290">
        <f t="shared" si="42"/>
        <v>-30010.234142609712</v>
      </c>
      <c r="F120" s="290">
        <f t="shared" si="33"/>
        <v>-7395.9538370038681</v>
      </c>
      <c r="G120" s="290">
        <f t="shared" si="34"/>
        <v>-22614.280305605847</v>
      </c>
      <c r="H120" s="291">
        <f t="shared" si="35"/>
        <v>4712106.0229850868</v>
      </c>
      <c r="J120" s="287">
        <f t="shared" si="31"/>
        <v>6</v>
      </c>
      <c r="K120" s="288">
        <f t="shared" si="47"/>
        <v>68</v>
      </c>
      <c r="L120" s="289">
        <f t="shared" si="48"/>
        <v>2040</v>
      </c>
      <c r="M120" s="290">
        <f t="shared" si="43"/>
        <v>0</v>
      </c>
      <c r="N120" s="290" t="e">
        <f t="shared" si="44"/>
        <v>#NUM!</v>
      </c>
      <c r="O120" s="290">
        <f t="shared" si="36"/>
        <v>0</v>
      </c>
      <c r="P120" s="290">
        <f t="shared" si="37"/>
        <v>0</v>
      </c>
      <c r="Q120" s="291">
        <f t="shared" si="38"/>
        <v>0</v>
      </c>
      <c r="S120" s="287">
        <f t="shared" si="32"/>
        <v>6</v>
      </c>
      <c r="T120" s="288">
        <f t="shared" si="49"/>
        <v>68</v>
      </c>
      <c r="U120" s="289">
        <f t="shared" si="50"/>
        <v>2040</v>
      </c>
      <c r="V120" s="290">
        <f t="shared" si="51"/>
        <v>0</v>
      </c>
      <c r="W120" s="290" t="e">
        <f t="shared" si="52"/>
        <v>#NUM!</v>
      </c>
      <c r="X120" s="290">
        <f t="shared" si="39"/>
        <v>0</v>
      </c>
      <c r="Y120" s="290" t="e">
        <f t="shared" si="40"/>
        <v>#NUM!</v>
      </c>
      <c r="Z120" s="290">
        <f t="shared" si="29"/>
        <v>0</v>
      </c>
      <c r="AA120" s="291"/>
      <c r="AC120"/>
      <c r="AD120"/>
      <c r="AE120"/>
      <c r="AF120"/>
      <c r="AG120"/>
      <c r="AH120"/>
      <c r="AI120"/>
      <c r="AJ120"/>
    </row>
    <row r="121" spans="1:36" hidden="1">
      <c r="A121" s="292">
        <f t="shared" si="30"/>
        <v>6</v>
      </c>
      <c r="B121" s="293">
        <f t="shared" si="45"/>
        <v>69</v>
      </c>
      <c r="C121" s="294">
        <f t="shared" si="46"/>
        <v>48122</v>
      </c>
      <c r="D121" s="295">
        <f t="shared" si="41"/>
        <v>4712106.0229850868</v>
      </c>
      <c r="E121" s="295">
        <f t="shared" si="42"/>
        <v>-30010.234142609712</v>
      </c>
      <c r="F121" s="295">
        <f t="shared" si="33"/>
        <v>-7431.3927824728444</v>
      </c>
      <c r="G121" s="295">
        <f t="shared" si="34"/>
        <v>-22578.841360136867</v>
      </c>
      <c r="H121" s="298">
        <f t="shared" si="35"/>
        <v>4704674.6302026138</v>
      </c>
      <c r="J121" s="292">
        <f t="shared" si="31"/>
        <v>6</v>
      </c>
      <c r="K121" s="293">
        <f t="shared" si="47"/>
        <v>69</v>
      </c>
      <c r="L121" s="294">
        <f t="shared" si="48"/>
        <v>2071</v>
      </c>
      <c r="M121" s="295">
        <f t="shared" si="43"/>
        <v>0</v>
      </c>
      <c r="N121" s="295" t="e">
        <f t="shared" si="44"/>
        <v>#NUM!</v>
      </c>
      <c r="O121" s="295">
        <f t="shared" si="36"/>
        <v>0</v>
      </c>
      <c r="P121" s="295">
        <f t="shared" si="37"/>
        <v>0</v>
      </c>
      <c r="Q121" s="298">
        <f t="shared" si="38"/>
        <v>0</v>
      </c>
      <c r="S121" s="292">
        <f t="shared" si="32"/>
        <v>6</v>
      </c>
      <c r="T121" s="293">
        <f t="shared" si="49"/>
        <v>69</v>
      </c>
      <c r="U121" s="294">
        <f t="shared" si="50"/>
        <v>2071</v>
      </c>
      <c r="V121" s="295">
        <f t="shared" si="51"/>
        <v>0</v>
      </c>
      <c r="W121" s="290" t="e">
        <f t="shared" si="52"/>
        <v>#NUM!</v>
      </c>
      <c r="X121" s="295">
        <f t="shared" si="39"/>
        <v>0</v>
      </c>
      <c r="Y121" s="295" t="e">
        <f t="shared" si="40"/>
        <v>#NUM!</v>
      </c>
      <c r="Z121" s="295">
        <f t="shared" si="29"/>
        <v>0</v>
      </c>
      <c r="AA121" s="298"/>
      <c r="AC121"/>
      <c r="AD121"/>
      <c r="AE121"/>
      <c r="AF121"/>
      <c r="AG121"/>
      <c r="AH121"/>
      <c r="AI121"/>
      <c r="AJ121"/>
    </row>
    <row r="122" spans="1:36" hidden="1">
      <c r="A122" s="287">
        <f t="shared" si="30"/>
        <v>6</v>
      </c>
      <c r="B122" s="288">
        <f t="shared" si="45"/>
        <v>70</v>
      </c>
      <c r="C122" s="289">
        <f t="shared" si="46"/>
        <v>48153</v>
      </c>
      <c r="D122" s="290">
        <f t="shared" si="41"/>
        <v>4704674.6302026138</v>
      </c>
      <c r="E122" s="290">
        <f t="shared" si="42"/>
        <v>-30010.234142609712</v>
      </c>
      <c r="F122" s="290">
        <f t="shared" si="33"/>
        <v>-7467.0015395555265</v>
      </c>
      <c r="G122" s="290">
        <f t="shared" si="34"/>
        <v>-22543.232603054184</v>
      </c>
      <c r="H122" s="291">
        <f t="shared" si="35"/>
        <v>4697207.6286630584</v>
      </c>
      <c r="J122" s="287">
        <f t="shared" si="31"/>
        <v>6</v>
      </c>
      <c r="K122" s="288">
        <f t="shared" si="47"/>
        <v>70</v>
      </c>
      <c r="L122" s="289">
        <f t="shared" si="48"/>
        <v>2101</v>
      </c>
      <c r="M122" s="290">
        <f t="shared" si="43"/>
        <v>0</v>
      </c>
      <c r="N122" s="290" t="e">
        <f t="shared" si="44"/>
        <v>#NUM!</v>
      </c>
      <c r="O122" s="290">
        <f t="shared" si="36"/>
        <v>0</v>
      </c>
      <c r="P122" s="290">
        <f t="shared" si="37"/>
        <v>0</v>
      </c>
      <c r="Q122" s="291">
        <f t="shared" si="38"/>
        <v>0</v>
      </c>
      <c r="S122" s="287">
        <f t="shared" si="32"/>
        <v>6</v>
      </c>
      <c r="T122" s="288">
        <f t="shared" si="49"/>
        <v>70</v>
      </c>
      <c r="U122" s="289">
        <f t="shared" si="50"/>
        <v>2101</v>
      </c>
      <c r="V122" s="290">
        <f t="shared" si="51"/>
        <v>0</v>
      </c>
      <c r="W122" s="290" t="e">
        <f t="shared" si="52"/>
        <v>#NUM!</v>
      </c>
      <c r="X122" s="290">
        <f t="shared" si="39"/>
        <v>0</v>
      </c>
      <c r="Y122" s="290" t="e">
        <f t="shared" si="40"/>
        <v>#NUM!</v>
      </c>
      <c r="Z122" s="290">
        <f t="shared" si="29"/>
        <v>0</v>
      </c>
      <c r="AA122" s="291"/>
      <c r="AC122"/>
      <c r="AD122"/>
      <c r="AE122"/>
      <c r="AF122"/>
      <c r="AG122"/>
      <c r="AH122"/>
      <c r="AI122"/>
      <c r="AJ122"/>
    </row>
    <row r="123" spans="1:36" hidden="1">
      <c r="A123" s="292">
        <f t="shared" si="30"/>
        <v>6</v>
      </c>
      <c r="B123" s="293">
        <f t="shared" si="45"/>
        <v>71</v>
      </c>
      <c r="C123" s="294">
        <f t="shared" si="46"/>
        <v>48183</v>
      </c>
      <c r="D123" s="295">
        <f t="shared" si="41"/>
        <v>4697207.6286630584</v>
      </c>
      <c r="E123" s="295">
        <f t="shared" si="42"/>
        <v>-30010.234142609712</v>
      </c>
      <c r="F123" s="295">
        <f t="shared" si="33"/>
        <v>-7502.7809219325636</v>
      </c>
      <c r="G123" s="295">
        <f t="shared" si="34"/>
        <v>-22507.453220677151</v>
      </c>
      <c r="H123" s="296">
        <f t="shared" si="35"/>
        <v>4689704.8477411261</v>
      </c>
      <c r="J123" s="292">
        <f t="shared" si="31"/>
        <v>6</v>
      </c>
      <c r="K123" s="293">
        <f t="shared" si="47"/>
        <v>71</v>
      </c>
      <c r="L123" s="294">
        <f t="shared" si="48"/>
        <v>2132</v>
      </c>
      <c r="M123" s="295">
        <f t="shared" si="43"/>
        <v>0</v>
      </c>
      <c r="N123" s="295" t="e">
        <f t="shared" si="44"/>
        <v>#NUM!</v>
      </c>
      <c r="O123" s="295">
        <f t="shared" si="36"/>
        <v>0</v>
      </c>
      <c r="P123" s="295">
        <f t="shared" si="37"/>
        <v>0</v>
      </c>
      <c r="Q123" s="296">
        <f t="shared" si="38"/>
        <v>0</v>
      </c>
      <c r="S123" s="292">
        <f t="shared" si="32"/>
        <v>6</v>
      </c>
      <c r="T123" s="293">
        <f t="shared" si="49"/>
        <v>71</v>
      </c>
      <c r="U123" s="294">
        <f t="shared" si="50"/>
        <v>2132</v>
      </c>
      <c r="V123" s="295">
        <f t="shared" si="51"/>
        <v>0</v>
      </c>
      <c r="W123" s="290" t="e">
        <f t="shared" si="52"/>
        <v>#NUM!</v>
      </c>
      <c r="X123" s="295">
        <f t="shared" si="39"/>
        <v>0</v>
      </c>
      <c r="Y123" s="295" t="e">
        <f t="shared" si="40"/>
        <v>#NUM!</v>
      </c>
      <c r="Z123" s="295">
        <f t="shared" ref="Z123:Z186" si="53">V123+X123</f>
        <v>0</v>
      </c>
      <c r="AA123" s="296"/>
      <c r="AC123"/>
      <c r="AD123"/>
      <c r="AE123"/>
      <c r="AF123"/>
      <c r="AG123"/>
      <c r="AH123"/>
      <c r="AI123"/>
      <c r="AJ123"/>
    </row>
    <row r="124" spans="1:36" hidden="1">
      <c r="A124" s="287">
        <f t="shared" si="30"/>
        <v>6</v>
      </c>
      <c r="B124" s="288">
        <f t="shared" si="45"/>
        <v>72</v>
      </c>
      <c r="C124" s="289">
        <f t="shared" si="46"/>
        <v>48214</v>
      </c>
      <c r="D124" s="290">
        <f t="shared" si="41"/>
        <v>4689704.8477411261</v>
      </c>
      <c r="E124" s="290">
        <f t="shared" si="42"/>
        <v>-30010.234142609712</v>
      </c>
      <c r="F124" s="290">
        <f t="shared" si="33"/>
        <v>-7538.7317471834904</v>
      </c>
      <c r="G124" s="290">
        <f t="shared" si="34"/>
        <v>-22471.502395426221</v>
      </c>
      <c r="H124" s="291">
        <f t="shared" si="35"/>
        <v>4682166.1159939421</v>
      </c>
      <c r="J124" s="287">
        <f t="shared" si="31"/>
        <v>6</v>
      </c>
      <c r="K124" s="288">
        <f t="shared" si="47"/>
        <v>72</v>
      </c>
      <c r="L124" s="289">
        <f t="shared" si="48"/>
        <v>2162</v>
      </c>
      <c r="M124" s="290">
        <f t="shared" si="43"/>
        <v>0</v>
      </c>
      <c r="N124" s="290" t="e">
        <f t="shared" si="44"/>
        <v>#NUM!</v>
      </c>
      <c r="O124" s="290">
        <f t="shared" si="36"/>
        <v>0</v>
      </c>
      <c r="P124" s="290">
        <f t="shared" si="37"/>
        <v>0</v>
      </c>
      <c r="Q124" s="291">
        <f t="shared" si="38"/>
        <v>0</v>
      </c>
      <c r="S124" s="287">
        <f t="shared" si="32"/>
        <v>6</v>
      </c>
      <c r="T124" s="288">
        <f t="shared" si="49"/>
        <v>72</v>
      </c>
      <c r="U124" s="289">
        <f t="shared" si="50"/>
        <v>2162</v>
      </c>
      <c r="V124" s="290">
        <f t="shared" si="51"/>
        <v>0</v>
      </c>
      <c r="W124" s="290" t="e">
        <f t="shared" si="52"/>
        <v>#NUM!</v>
      </c>
      <c r="X124" s="290">
        <f t="shared" si="39"/>
        <v>0</v>
      </c>
      <c r="Y124" s="290" t="e">
        <f t="shared" si="40"/>
        <v>#NUM!</v>
      </c>
      <c r="Z124" s="290">
        <f t="shared" si="53"/>
        <v>0</v>
      </c>
      <c r="AA124" s="291"/>
      <c r="AC124"/>
      <c r="AD124"/>
      <c r="AE124"/>
      <c r="AF124"/>
      <c r="AG124"/>
      <c r="AH124"/>
      <c r="AI124"/>
      <c r="AJ124"/>
    </row>
    <row r="125" spans="1:36" hidden="1">
      <c r="A125" s="292">
        <f t="shared" si="30"/>
        <v>7</v>
      </c>
      <c r="B125" s="293">
        <f t="shared" si="45"/>
        <v>73</v>
      </c>
      <c r="C125" s="294">
        <f t="shared" si="46"/>
        <v>48245</v>
      </c>
      <c r="D125" s="295">
        <f t="shared" si="41"/>
        <v>4682166.1159939421</v>
      </c>
      <c r="E125" s="295">
        <f t="shared" si="42"/>
        <v>-30010.234142609712</v>
      </c>
      <c r="F125" s="295">
        <f t="shared" si="33"/>
        <v>-7574.8548368054117</v>
      </c>
      <c r="G125" s="295">
        <f t="shared" si="34"/>
        <v>-22435.379305804301</v>
      </c>
      <c r="H125" s="298">
        <f t="shared" si="35"/>
        <v>4674591.2611571364</v>
      </c>
      <c r="J125" s="292">
        <f t="shared" si="31"/>
        <v>7</v>
      </c>
      <c r="K125" s="293">
        <f t="shared" si="47"/>
        <v>73</v>
      </c>
      <c r="L125" s="294">
        <f t="shared" si="48"/>
        <v>2193</v>
      </c>
      <c r="M125" s="295">
        <f t="shared" si="43"/>
        <v>0</v>
      </c>
      <c r="N125" s="295" t="e">
        <f t="shared" si="44"/>
        <v>#NUM!</v>
      </c>
      <c r="O125" s="295">
        <f t="shared" si="36"/>
        <v>0</v>
      </c>
      <c r="P125" s="295">
        <f t="shared" si="37"/>
        <v>0</v>
      </c>
      <c r="Q125" s="298">
        <f t="shared" si="38"/>
        <v>0</v>
      </c>
      <c r="S125" s="292">
        <f t="shared" si="32"/>
        <v>7</v>
      </c>
      <c r="T125" s="293">
        <f t="shared" si="49"/>
        <v>73</v>
      </c>
      <c r="U125" s="294">
        <f t="shared" si="50"/>
        <v>2193</v>
      </c>
      <c r="V125" s="295">
        <f t="shared" si="51"/>
        <v>0</v>
      </c>
      <c r="W125" s="290" t="e">
        <f t="shared" si="52"/>
        <v>#NUM!</v>
      </c>
      <c r="X125" s="295">
        <f t="shared" si="39"/>
        <v>0</v>
      </c>
      <c r="Y125" s="295" t="e">
        <f t="shared" si="40"/>
        <v>#NUM!</v>
      </c>
      <c r="Z125" s="295">
        <f t="shared" si="53"/>
        <v>0</v>
      </c>
      <c r="AA125" s="298"/>
      <c r="AC125"/>
      <c r="AD125"/>
      <c r="AE125"/>
      <c r="AF125"/>
      <c r="AG125"/>
      <c r="AH125"/>
      <c r="AI125"/>
      <c r="AJ125"/>
    </row>
    <row r="126" spans="1:36" hidden="1">
      <c r="A126" s="287">
        <f t="shared" si="30"/>
        <v>7</v>
      </c>
      <c r="B126" s="288">
        <f t="shared" si="45"/>
        <v>74</v>
      </c>
      <c r="C126" s="289">
        <f t="shared" si="46"/>
        <v>48274</v>
      </c>
      <c r="D126" s="290">
        <f t="shared" si="41"/>
        <v>4674591.2611571364</v>
      </c>
      <c r="E126" s="290">
        <f t="shared" si="42"/>
        <v>-30010.234142609712</v>
      </c>
      <c r="F126" s="290">
        <f t="shared" si="33"/>
        <v>-7611.1510162317709</v>
      </c>
      <c r="G126" s="290">
        <f t="shared" si="34"/>
        <v>-22399.083126377944</v>
      </c>
      <c r="H126" s="291">
        <f t="shared" si="35"/>
        <v>4666980.1101409048</v>
      </c>
      <c r="J126" s="287">
        <f t="shared" si="31"/>
        <v>7</v>
      </c>
      <c r="K126" s="288">
        <f t="shared" si="47"/>
        <v>74</v>
      </c>
      <c r="L126" s="289">
        <f t="shared" si="48"/>
        <v>2224</v>
      </c>
      <c r="M126" s="290">
        <f t="shared" si="43"/>
        <v>0</v>
      </c>
      <c r="N126" s="290" t="e">
        <f t="shared" si="44"/>
        <v>#NUM!</v>
      </c>
      <c r="O126" s="290">
        <f t="shared" si="36"/>
        <v>0</v>
      </c>
      <c r="P126" s="290">
        <f t="shared" si="37"/>
        <v>0</v>
      </c>
      <c r="Q126" s="291">
        <f t="shared" si="38"/>
        <v>0</v>
      </c>
      <c r="S126" s="287">
        <f t="shared" si="32"/>
        <v>7</v>
      </c>
      <c r="T126" s="288">
        <f t="shared" si="49"/>
        <v>74</v>
      </c>
      <c r="U126" s="289">
        <f t="shared" si="50"/>
        <v>2224</v>
      </c>
      <c r="V126" s="290">
        <f t="shared" si="51"/>
        <v>0</v>
      </c>
      <c r="W126" s="290" t="e">
        <f t="shared" si="52"/>
        <v>#NUM!</v>
      </c>
      <c r="X126" s="290">
        <f t="shared" si="39"/>
        <v>0</v>
      </c>
      <c r="Y126" s="290" t="e">
        <f t="shared" si="40"/>
        <v>#NUM!</v>
      </c>
      <c r="Z126" s="290">
        <f t="shared" si="53"/>
        <v>0</v>
      </c>
      <c r="AA126" s="291"/>
      <c r="AC126"/>
      <c r="AD126"/>
      <c r="AE126"/>
      <c r="AF126"/>
      <c r="AG126"/>
      <c r="AH126"/>
      <c r="AI126"/>
      <c r="AJ126"/>
    </row>
    <row r="127" spans="1:36" hidden="1">
      <c r="A127" s="292">
        <f t="shared" si="30"/>
        <v>7</v>
      </c>
      <c r="B127" s="293">
        <f t="shared" si="45"/>
        <v>75</v>
      </c>
      <c r="C127" s="294">
        <f t="shared" si="46"/>
        <v>48305</v>
      </c>
      <c r="D127" s="295">
        <f t="shared" si="41"/>
        <v>4666980.1101409048</v>
      </c>
      <c r="E127" s="295">
        <f t="shared" si="42"/>
        <v>-30010.234142609712</v>
      </c>
      <c r="F127" s="295">
        <f t="shared" si="33"/>
        <v>-7647.6211148512166</v>
      </c>
      <c r="G127" s="295">
        <f t="shared" si="34"/>
        <v>-22362.6130277585</v>
      </c>
      <c r="H127" s="296">
        <f t="shared" si="35"/>
        <v>4659332.4890260538</v>
      </c>
      <c r="J127" s="292">
        <f t="shared" si="31"/>
        <v>7</v>
      </c>
      <c r="K127" s="293">
        <f t="shared" si="47"/>
        <v>75</v>
      </c>
      <c r="L127" s="294">
        <f t="shared" si="48"/>
        <v>2252</v>
      </c>
      <c r="M127" s="295">
        <f t="shared" si="43"/>
        <v>0</v>
      </c>
      <c r="N127" s="295" t="e">
        <f t="shared" si="44"/>
        <v>#NUM!</v>
      </c>
      <c r="O127" s="295">
        <f t="shared" si="36"/>
        <v>0</v>
      </c>
      <c r="P127" s="295">
        <f t="shared" si="37"/>
        <v>0</v>
      </c>
      <c r="Q127" s="296">
        <f t="shared" si="38"/>
        <v>0</v>
      </c>
      <c r="S127" s="292">
        <f t="shared" si="32"/>
        <v>7</v>
      </c>
      <c r="T127" s="293">
        <f t="shared" si="49"/>
        <v>75</v>
      </c>
      <c r="U127" s="294">
        <f t="shared" si="50"/>
        <v>2252</v>
      </c>
      <c r="V127" s="295">
        <f t="shared" si="51"/>
        <v>0</v>
      </c>
      <c r="W127" s="290" t="e">
        <f t="shared" si="52"/>
        <v>#NUM!</v>
      </c>
      <c r="X127" s="295">
        <f t="shared" si="39"/>
        <v>0</v>
      </c>
      <c r="Y127" s="295" t="e">
        <f t="shared" si="40"/>
        <v>#NUM!</v>
      </c>
      <c r="Z127" s="295">
        <f t="shared" si="53"/>
        <v>0</v>
      </c>
      <c r="AA127" s="296"/>
      <c r="AC127"/>
      <c r="AD127"/>
      <c r="AE127"/>
      <c r="AF127"/>
      <c r="AG127"/>
      <c r="AH127"/>
      <c r="AI127"/>
      <c r="AJ127"/>
    </row>
    <row r="128" spans="1:36" hidden="1">
      <c r="A128" s="287">
        <f t="shared" si="30"/>
        <v>7</v>
      </c>
      <c r="B128" s="288">
        <f t="shared" si="45"/>
        <v>76</v>
      </c>
      <c r="C128" s="289">
        <f t="shared" si="46"/>
        <v>48335</v>
      </c>
      <c r="D128" s="290">
        <f t="shared" si="41"/>
        <v>4659332.4890260538</v>
      </c>
      <c r="E128" s="290">
        <f t="shared" si="42"/>
        <v>-30010.234142609712</v>
      </c>
      <c r="F128" s="290">
        <f t="shared" si="33"/>
        <v>-7684.2659660265444</v>
      </c>
      <c r="G128" s="290">
        <f t="shared" si="34"/>
        <v>-22325.968176583166</v>
      </c>
      <c r="H128" s="291">
        <f t="shared" si="35"/>
        <v>4651648.2230600277</v>
      </c>
      <c r="J128" s="287">
        <f t="shared" si="31"/>
        <v>7</v>
      </c>
      <c r="K128" s="288">
        <f t="shared" si="47"/>
        <v>76</v>
      </c>
      <c r="L128" s="289">
        <f t="shared" si="48"/>
        <v>2283</v>
      </c>
      <c r="M128" s="290">
        <f t="shared" si="43"/>
        <v>0</v>
      </c>
      <c r="N128" s="290" t="e">
        <f t="shared" si="44"/>
        <v>#NUM!</v>
      </c>
      <c r="O128" s="290">
        <f t="shared" si="36"/>
        <v>0</v>
      </c>
      <c r="P128" s="290">
        <f t="shared" si="37"/>
        <v>0</v>
      </c>
      <c r="Q128" s="291">
        <f t="shared" si="38"/>
        <v>0</v>
      </c>
      <c r="S128" s="287">
        <f t="shared" si="32"/>
        <v>7</v>
      </c>
      <c r="T128" s="288">
        <f t="shared" si="49"/>
        <v>76</v>
      </c>
      <c r="U128" s="289">
        <f t="shared" si="50"/>
        <v>2283</v>
      </c>
      <c r="V128" s="290">
        <f t="shared" si="51"/>
        <v>0</v>
      </c>
      <c r="W128" s="290" t="e">
        <f t="shared" si="52"/>
        <v>#NUM!</v>
      </c>
      <c r="X128" s="290">
        <f t="shared" si="39"/>
        <v>0</v>
      </c>
      <c r="Y128" s="290" t="e">
        <f t="shared" si="40"/>
        <v>#NUM!</v>
      </c>
      <c r="Z128" s="290">
        <f t="shared" si="53"/>
        <v>0</v>
      </c>
      <c r="AA128" s="291"/>
      <c r="AC128"/>
      <c r="AD128"/>
      <c r="AE128"/>
      <c r="AF128"/>
      <c r="AG128"/>
      <c r="AH128"/>
      <c r="AI128"/>
      <c r="AJ128"/>
    </row>
    <row r="129" spans="1:36" hidden="1">
      <c r="A129" s="292">
        <f t="shared" si="30"/>
        <v>7</v>
      </c>
      <c r="B129" s="293">
        <f t="shared" si="45"/>
        <v>77</v>
      </c>
      <c r="C129" s="294">
        <f t="shared" si="46"/>
        <v>48366</v>
      </c>
      <c r="D129" s="295">
        <f t="shared" si="41"/>
        <v>4651648.2230600277</v>
      </c>
      <c r="E129" s="295">
        <f t="shared" si="42"/>
        <v>-30010.234142609712</v>
      </c>
      <c r="F129" s="295">
        <f t="shared" si="33"/>
        <v>-7721.0864071137539</v>
      </c>
      <c r="G129" s="295">
        <f t="shared" si="34"/>
        <v>-22289.147735495961</v>
      </c>
      <c r="H129" s="298">
        <f t="shared" si="35"/>
        <v>4643927.1366529139</v>
      </c>
      <c r="J129" s="292">
        <f t="shared" si="31"/>
        <v>7</v>
      </c>
      <c r="K129" s="293">
        <f t="shared" si="47"/>
        <v>77</v>
      </c>
      <c r="L129" s="294">
        <f t="shared" si="48"/>
        <v>2313</v>
      </c>
      <c r="M129" s="295">
        <f t="shared" si="43"/>
        <v>0</v>
      </c>
      <c r="N129" s="295" t="e">
        <f t="shared" si="44"/>
        <v>#NUM!</v>
      </c>
      <c r="O129" s="295">
        <f t="shared" si="36"/>
        <v>0</v>
      </c>
      <c r="P129" s="295">
        <f t="shared" si="37"/>
        <v>0</v>
      </c>
      <c r="Q129" s="298">
        <f t="shared" si="38"/>
        <v>0</v>
      </c>
      <c r="S129" s="292">
        <f t="shared" si="32"/>
        <v>7</v>
      </c>
      <c r="T129" s="293">
        <f t="shared" si="49"/>
        <v>77</v>
      </c>
      <c r="U129" s="294">
        <f t="shared" si="50"/>
        <v>2313</v>
      </c>
      <c r="V129" s="295">
        <f t="shared" si="51"/>
        <v>0</v>
      </c>
      <c r="W129" s="290" t="e">
        <f t="shared" si="52"/>
        <v>#NUM!</v>
      </c>
      <c r="X129" s="295">
        <f t="shared" si="39"/>
        <v>0</v>
      </c>
      <c r="Y129" s="295" t="e">
        <f t="shared" si="40"/>
        <v>#NUM!</v>
      </c>
      <c r="Z129" s="295">
        <f t="shared" si="53"/>
        <v>0</v>
      </c>
      <c r="AA129" s="298"/>
      <c r="AC129"/>
      <c r="AD129"/>
      <c r="AE129"/>
      <c r="AF129"/>
      <c r="AG129"/>
      <c r="AH129"/>
      <c r="AI129"/>
      <c r="AJ129"/>
    </row>
    <row r="130" spans="1:36" hidden="1">
      <c r="A130" s="287">
        <f t="shared" ref="A130:A193" si="54">A118+1</f>
        <v>7</v>
      </c>
      <c r="B130" s="288">
        <f t="shared" si="45"/>
        <v>78</v>
      </c>
      <c r="C130" s="289">
        <f t="shared" si="46"/>
        <v>48396</v>
      </c>
      <c r="D130" s="290">
        <f t="shared" si="41"/>
        <v>4643927.1366529139</v>
      </c>
      <c r="E130" s="290">
        <f t="shared" si="42"/>
        <v>-30010.234142609712</v>
      </c>
      <c r="F130" s="290">
        <f t="shared" si="33"/>
        <v>-7758.083279481174</v>
      </c>
      <c r="G130" s="290">
        <f t="shared" si="34"/>
        <v>-22252.15086312854</v>
      </c>
      <c r="H130" s="291">
        <f t="shared" si="35"/>
        <v>4636169.0533734327</v>
      </c>
      <c r="J130" s="287">
        <f t="shared" ref="J130:J193" si="55">J118+1</f>
        <v>7</v>
      </c>
      <c r="K130" s="288">
        <f t="shared" si="47"/>
        <v>78</v>
      </c>
      <c r="L130" s="289">
        <f t="shared" si="48"/>
        <v>2344</v>
      </c>
      <c r="M130" s="290">
        <f t="shared" si="43"/>
        <v>0</v>
      </c>
      <c r="N130" s="290" t="e">
        <f t="shared" si="44"/>
        <v>#NUM!</v>
      </c>
      <c r="O130" s="290">
        <f t="shared" si="36"/>
        <v>0</v>
      </c>
      <c r="P130" s="290">
        <f t="shared" si="37"/>
        <v>0</v>
      </c>
      <c r="Q130" s="291">
        <f t="shared" si="38"/>
        <v>0</v>
      </c>
      <c r="S130" s="287">
        <f t="shared" ref="S130:S193" si="56">S118+1</f>
        <v>7</v>
      </c>
      <c r="T130" s="288">
        <f t="shared" si="49"/>
        <v>78</v>
      </c>
      <c r="U130" s="289">
        <f t="shared" si="50"/>
        <v>2344</v>
      </c>
      <c r="V130" s="290">
        <f t="shared" si="51"/>
        <v>0</v>
      </c>
      <c r="W130" s="290" t="e">
        <f t="shared" si="52"/>
        <v>#NUM!</v>
      </c>
      <c r="X130" s="290">
        <f t="shared" si="39"/>
        <v>0</v>
      </c>
      <c r="Y130" s="290" t="e">
        <f t="shared" si="40"/>
        <v>#NUM!</v>
      </c>
      <c r="Z130" s="290">
        <f t="shared" si="53"/>
        <v>0</v>
      </c>
      <c r="AA130" s="291"/>
      <c r="AC130"/>
      <c r="AD130"/>
      <c r="AE130"/>
      <c r="AF130"/>
      <c r="AG130"/>
      <c r="AH130"/>
      <c r="AI130"/>
      <c r="AJ130"/>
    </row>
    <row r="131" spans="1:36" hidden="1">
      <c r="A131" s="292">
        <f t="shared" si="54"/>
        <v>7</v>
      </c>
      <c r="B131" s="293">
        <f t="shared" si="45"/>
        <v>79</v>
      </c>
      <c r="C131" s="294">
        <f t="shared" si="46"/>
        <v>48427</v>
      </c>
      <c r="D131" s="295">
        <f t="shared" si="41"/>
        <v>4636169.0533734327</v>
      </c>
      <c r="E131" s="295">
        <f t="shared" si="42"/>
        <v>-30010.234142609712</v>
      </c>
      <c r="F131" s="295">
        <f t="shared" si="33"/>
        <v>-7795.2574285286883</v>
      </c>
      <c r="G131" s="295">
        <f t="shared" si="34"/>
        <v>-22214.976714081025</v>
      </c>
      <c r="H131" s="296">
        <f t="shared" si="35"/>
        <v>4628373.795944904</v>
      </c>
      <c r="J131" s="292">
        <f t="shared" si="55"/>
        <v>7</v>
      </c>
      <c r="K131" s="293">
        <f t="shared" si="47"/>
        <v>79</v>
      </c>
      <c r="L131" s="294">
        <f t="shared" si="48"/>
        <v>2374</v>
      </c>
      <c r="M131" s="295">
        <f t="shared" si="43"/>
        <v>0</v>
      </c>
      <c r="N131" s="295" t="e">
        <f t="shared" si="44"/>
        <v>#NUM!</v>
      </c>
      <c r="O131" s="295">
        <f t="shared" si="36"/>
        <v>0</v>
      </c>
      <c r="P131" s="295">
        <f t="shared" si="37"/>
        <v>0</v>
      </c>
      <c r="Q131" s="296">
        <f t="shared" si="38"/>
        <v>0</v>
      </c>
      <c r="S131" s="292">
        <f t="shared" si="56"/>
        <v>7</v>
      </c>
      <c r="T131" s="293">
        <f t="shared" si="49"/>
        <v>79</v>
      </c>
      <c r="U131" s="294">
        <f t="shared" si="50"/>
        <v>2374</v>
      </c>
      <c r="V131" s="295">
        <f t="shared" si="51"/>
        <v>0</v>
      </c>
      <c r="W131" s="290" t="e">
        <f t="shared" si="52"/>
        <v>#NUM!</v>
      </c>
      <c r="X131" s="295">
        <f t="shared" si="39"/>
        <v>0</v>
      </c>
      <c r="Y131" s="295" t="e">
        <f t="shared" si="40"/>
        <v>#NUM!</v>
      </c>
      <c r="Z131" s="295">
        <f t="shared" si="53"/>
        <v>0</v>
      </c>
      <c r="AA131" s="296"/>
      <c r="AC131"/>
      <c r="AD131"/>
      <c r="AE131"/>
      <c r="AF131"/>
      <c r="AG131"/>
      <c r="AH131"/>
      <c r="AI131"/>
      <c r="AJ131"/>
    </row>
    <row r="132" spans="1:36" hidden="1">
      <c r="A132" s="287">
        <f t="shared" si="54"/>
        <v>7</v>
      </c>
      <c r="B132" s="288">
        <f t="shared" si="45"/>
        <v>80</v>
      </c>
      <c r="C132" s="289">
        <f t="shared" si="46"/>
        <v>48458</v>
      </c>
      <c r="D132" s="290">
        <f t="shared" si="41"/>
        <v>4628373.795944904</v>
      </c>
      <c r="E132" s="290">
        <f t="shared" si="42"/>
        <v>-30010.234142609712</v>
      </c>
      <c r="F132" s="290">
        <f t="shared" si="33"/>
        <v>-7832.609703707054</v>
      </c>
      <c r="G132" s="290">
        <f t="shared" si="34"/>
        <v>-22177.624438902658</v>
      </c>
      <c r="H132" s="291">
        <f t="shared" si="35"/>
        <v>4620541.1862411965</v>
      </c>
      <c r="J132" s="287">
        <f t="shared" si="55"/>
        <v>7</v>
      </c>
      <c r="K132" s="288">
        <f t="shared" si="47"/>
        <v>80</v>
      </c>
      <c r="L132" s="289">
        <f t="shared" si="48"/>
        <v>2405</v>
      </c>
      <c r="M132" s="290">
        <f t="shared" si="43"/>
        <v>0</v>
      </c>
      <c r="N132" s="290" t="e">
        <f t="shared" si="44"/>
        <v>#NUM!</v>
      </c>
      <c r="O132" s="290">
        <f t="shared" si="36"/>
        <v>0</v>
      </c>
      <c r="P132" s="290">
        <f t="shared" si="37"/>
        <v>0</v>
      </c>
      <c r="Q132" s="291">
        <f t="shared" si="38"/>
        <v>0</v>
      </c>
      <c r="S132" s="287">
        <f t="shared" si="56"/>
        <v>7</v>
      </c>
      <c r="T132" s="288">
        <f t="shared" si="49"/>
        <v>80</v>
      </c>
      <c r="U132" s="289">
        <f t="shared" si="50"/>
        <v>2405</v>
      </c>
      <c r="V132" s="290">
        <f t="shared" si="51"/>
        <v>0</v>
      </c>
      <c r="W132" s="290" t="e">
        <f t="shared" si="52"/>
        <v>#NUM!</v>
      </c>
      <c r="X132" s="290">
        <f t="shared" si="39"/>
        <v>0</v>
      </c>
      <c r="Y132" s="290" t="e">
        <f t="shared" si="40"/>
        <v>#NUM!</v>
      </c>
      <c r="Z132" s="290">
        <f t="shared" si="53"/>
        <v>0</v>
      </c>
      <c r="AA132" s="291"/>
      <c r="AC132"/>
      <c r="AD132"/>
      <c r="AE132"/>
      <c r="AF132"/>
      <c r="AG132"/>
      <c r="AH132"/>
      <c r="AI132"/>
      <c r="AJ132"/>
    </row>
    <row r="133" spans="1:36" hidden="1">
      <c r="A133" s="292">
        <f t="shared" si="54"/>
        <v>7</v>
      </c>
      <c r="B133" s="293">
        <f t="shared" si="45"/>
        <v>81</v>
      </c>
      <c r="C133" s="294">
        <f t="shared" si="46"/>
        <v>48488</v>
      </c>
      <c r="D133" s="295">
        <f t="shared" si="41"/>
        <v>4620541.1862411965</v>
      </c>
      <c r="E133" s="295">
        <f t="shared" si="42"/>
        <v>-30010.234142609712</v>
      </c>
      <c r="F133" s="295">
        <f t="shared" si="33"/>
        <v>-7870.1409585373176</v>
      </c>
      <c r="G133" s="295">
        <f t="shared" si="34"/>
        <v>-22140.093184072397</v>
      </c>
      <c r="H133" s="298">
        <f t="shared" si="35"/>
        <v>4612671.0452826591</v>
      </c>
      <c r="J133" s="292">
        <f t="shared" si="55"/>
        <v>7</v>
      </c>
      <c r="K133" s="293">
        <f t="shared" si="47"/>
        <v>81</v>
      </c>
      <c r="L133" s="294">
        <f t="shared" si="48"/>
        <v>2436</v>
      </c>
      <c r="M133" s="295">
        <f t="shared" si="43"/>
        <v>0</v>
      </c>
      <c r="N133" s="295" t="e">
        <f t="shared" si="44"/>
        <v>#NUM!</v>
      </c>
      <c r="O133" s="295">
        <f t="shared" si="36"/>
        <v>0</v>
      </c>
      <c r="P133" s="295">
        <f t="shared" si="37"/>
        <v>0</v>
      </c>
      <c r="Q133" s="298">
        <f t="shared" si="38"/>
        <v>0</v>
      </c>
      <c r="S133" s="292">
        <f t="shared" si="56"/>
        <v>7</v>
      </c>
      <c r="T133" s="293">
        <f t="shared" si="49"/>
        <v>81</v>
      </c>
      <c r="U133" s="294">
        <f t="shared" si="50"/>
        <v>2436</v>
      </c>
      <c r="V133" s="295">
        <f t="shared" si="51"/>
        <v>0</v>
      </c>
      <c r="W133" s="290" t="e">
        <f t="shared" si="52"/>
        <v>#NUM!</v>
      </c>
      <c r="X133" s="295">
        <f t="shared" si="39"/>
        <v>0</v>
      </c>
      <c r="Y133" s="295" t="e">
        <f t="shared" si="40"/>
        <v>#NUM!</v>
      </c>
      <c r="Z133" s="295">
        <f t="shared" si="53"/>
        <v>0</v>
      </c>
      <c r="AA133" s="298"/>
      <c r="AC133"/>
      <c r="AD133"/>
      <c r="AE133"/>
      <c r="AF133"/>
      <c r="AG133"/>
      <c r="AH133"/>
      <c r="AI133"/>
      <c r="AJ133"/>
    </row>
    <row r="134" spans="1:36" hidden="1">
      <c r="A134" s="287">
        <f t="shared" si="54"/>
        <v>7</v>
      </c>
      <c r="B134" s="288">
        <f t="shared" si="45"/>
        <v>82</v>
      </c>
      <c r="C134" s="289">
        <f t="shared" si="46"/>
        <v>48519</v>
      </c>
      <c r="D134" s="290">
        <f t="shared" si="41"/>
        <v>4612671.0452826591</v>
      </c>
      <c r="E134" s="290">
        <f t="shared" si="42"/>
        <v>-30010.234142609712</v>
      </c>
      <c r="F134" s="290">
        <f t="shared" si="33"/>
        <v>-7907.8520506303093</v>
      </c>
      <c r="G134" s="290">
        <f t="shared" si="34"/>
        <v>-22102.382091979405</v>
      </c>
      <c r="H134" s="291">
        <f t="shared" si="35"/>
        <v>4604763.1932320287</v>
      </c>
      <c r="J134" s="287">
        <f t="shared" si="55"/>
        <v>7</v>
      </c>
      <c r="K134" s="288">
        <f t="shared" si="47"/>
        <v>82</v>
      </c>
      <c r="L134" s="289">
        <f t="shared" si="48"/>
        <v>2466</v>
      </c>
      <c r="M134" s="290">
        <f t="shared" si="43"/>
        <v>0</v>
      </c>
      <c r="N134" s="290" t="e">
        <f t="shared" si="44"/>
        <v>#NUM!</v>
      </c>
      <c r="O134" s="290">
        <f t="shared" si="36"/>
        <v>0</v>
      </c>
      <c r="P134" s="290">
        <f t="shared" si="37"/>
        <v>0</v>
      </c>
      <c r="Q134" s="291">
        <f t="shared" si="38"/>
        <v>0</v>
      </c>
      <c r="S134" s="287">
        <f t="shared" si="56"/>
        <v>7</v>
      </c>
      <c r="T134" s="288">
        <f t="shared" si="49"/>
        <v>82</v>
      </c>
      <c r="U134" s="289">
        <f t="shared" si="50"/>
        <v>2466</v>
      </c>
      <c r="V134" s="290">
        <f t="shared" si="51"/>
        <v>0</v>
      </c>
      <c r="W134" s="290" t="e">
        <f t="shared" si="52"/>
        <v>#NUM!</v>
      </c>
      <c r="X134" s="290">
        <f t="shared" si="39"/>
        <v>0</v>
      </c>
      <c r="Y134" s="290" t="e">
        <f t="shared" si="40"/>
        <v>#NUM!</v>
      </c>
      <c r="Z134" s="290">
        <f t="shared" si="53"/>
        <v>0</v>
      </c>
      <c r="AA134" s="291"/>
      <c r="AC134"/>
      <c r="AD134"/>
      <c r="AE134"/>
      <c r="AF134"/>
      <c r="AG134"/>
      <c r="AH134"/>
      <c r="AI134"/>
      <c r="AJ134"/>
    </row>
    <row r="135" spans="1:36" hidden="1">
      <c r="A135" s="292">
        <f t="shared" si="54"/>
        <v>7</v>
      </c>
      <c r="B135" s="293">
        <f t="shared" si="45"/>
        <v>83</v>
      </c>
      <c r="C135" s="294">
        <f t="shared" si="46"/>
        <v>48549</v>
      </c>
      <c r="D135" s="295">
        <f t="shared" si="41"/>
        <v>4604763.1932320287</v>
      </c>
      <c r="E135" s="295">
        <f t="shared" si="42"/>
        <v>-30010.234142609712</v>
      </c>
      <c r="F135" s="295">
        <f t="shared" si="33"/>
        <v>-7945.7438417062467</v>
      </c>
      <c r="G135" s="295">
        <f t="shared" si="34"/>
        <v>-22064.490300903468</v>
      </c>
      <c r="H135" s="296">
        <f t="shared" si="35"/>
        <v>4596817.4493903229</v>
      </c>
      <c r="J135" s="292">
        <f t="shared" si="55"/>
        <v>7</v>
      </c>
      <c r="K135" s="293">
        <f t="shared" si="47"/>
        <v>83</v>
      </c>
      <c r="L135" s="294">
        <f t="shared" si="48"/>
        <v>2497</v>
      </c>
      <c r="M135" s="295">
        <f t="shared" si="43"/>
        <v>0</v>
      </c>
      <c r="N135" s="295" t="e">
        <f t="shared" si="44"/>
        <v>#NUM!</v>
      </c>
      <c r="O135" s="295">
        <f t="shared" si="36"/>
        <v>0</v>
      </c>
      <c r="P135" s="295">
        <f t="shared" si="37"/>
        <v>0</v>
      </c>
      <c r="Q135" s="296">
        <f t="shared" si="38"/>
        <v>0</v>
      </c>
      <c r="S135" s="292">
        <f t="shared" si="56"/>
        <v>7</v>
      </c>
      <c r="T135" s="293">
        <f t="shared" si="49"/>
        <v>83</v>
      </c>
      <c r="U135" s="294">
        <f t="shared" si="50"/>
        <v>2497</v>
      </c>
      <c r="V135" s="295">
        <f t="shared" si="51"/>
        <v>0</v>
      </c>
      <c r="W135" s="290" t="e">
        <f t="shared" si="52"/>
        <v>#NUM!</v>
      </c>
      <c r="X135" s="295">
        <f t="shared" si="39"/>
        <v>0</v>
      </c>
      <c r="Y135" s="295" t="e">
        <f t="shared" si="40"/>
        <v>#NUM!</v>
      </c>
      <c r="Z135" s="295">
        <f t="shared" si="53"/>
        <v>0</v>
      </c>
      <c r="AA135" s="296"/>
      <c r="AC135"/>
      <c r="AD135"/>
      <c r="AE135"/>
      <c r="AF135"/>
      <c r="AG135"/>
      <c r="AH135"/>
      <c r="AI135"/>
      <c r="AJ135"/>
    </row>
    <row r="136" spans="1:36" hidden="1">
      <c r="A136" s="287">
        <f t="shared" si="54"/>
        <v>7</v>
      </c>
      <c r="B136" s="288">
        <f t="shared" si="45"/>
        <v>84</v>
      </c>
      <c r="C136" s="289">
        <f t="shared" si="46"/>
        <v>48580</v>
      </c>
      <c r="D136" s="290">
        <f t="shared" si="41"/>
        <v>4596817.4493903229</v>
      </c>
      <c r="E136" s="290">
        <f t="shared" si="42"/>
        <v>-30010.234142609712</v>
      </c>
      <c r="F136" s="290">
        <f t="shared" si="33"/>
        <v>-7983.8171976144222</v>
      </c>
      <c r="G136" s="290">
        <f t="shared" si="34"/>
        <v>-22026.41694499529</v>
      </c>
      <c r="H136" s="291">
        <f t="shared" si="35"/>
        <v>4588833.6321927086</v>
      </c>
      <c r="J136" s="287">
        <f t="shared" si="55"/>
        <v>7</v>
      </c>
      <c r="K136" s="288">
        <f t="shared" si="47"/>
        <v>84</v>
      </c>
      <c r="L136" s="289">
        <f t="shared" si="48"/>
        <v>2527</v>
      </c>
      <c r="M136" s="290">
        <f t="shared" si="43"/>
        <v>0</v>
      </c>
      <c r="N136" s="290" t="e">
        <f t="shared" si="44"/>
        <v>#NUM!</v>
      </c>
      <c r="O136" s="290">
        <f t="shared" si="36"/>
        <v>0</v>
      </c>
      <c r="P136" s="290">
        <f t="shared" si="37"/>
        <v>0</v>
      </c>
      <c r="Q136" s="291">
        <f t="shared" si="38"/>
        <v>0</v>
      </c>
      <c r="S136" s="287">
        <f t="shared" si="56"/>
        <v>7</v>
      </c>
      <c r="T136" s="288">
        <f t="shared" si="49"/>
        <v>84</v>
      </c>
      <c r="U136" s="289">
        <f t="shared" si="50"/>
        <v>2527</v>
      </c>
      <c r="V136" s="290">
        <f t="shared" si="51"/>
        <v>0</v>
      </c>
      <c r="W136" s="290" t="e">
        <f t="shared" si="52"/>
        <v>#NUM!</v>
      </c>
      <c r="X136" s="290">
        <f t="shared" si="39"/>
        <v>0</v>
      </c>
      <c r="Y136" s="290" t="e">
        <f t="shared" si="40"/>
        <v>#NUM!</v>
      </c>
      <c r="Z136" s="290">
        <f t="shared" si="53"/>
        <v>0</v>
      </c>
      <c r="AA136" s="291"/>
      <c r="AC136"/>
      <c r="AD136"/>
      <c r="AE136"/>
      <c r="AF136"/>
      <c r="AG136"/>
      <c r="AH136"/>
      <c r="AI136"/>
      <c r="AJ136"/>
    </row>
    <row r="137" spans="1:36" hidden="1">
      <c r="A137" s="292">
        <f t="shared" si="54"/>
        <v>8</v>
      </c>
      <c r="B137" s="293">
        <f t="shared" si="45"/>
        <v>85</v>
      </c>
      <c r="C137" s="294">
        <f t="shared" si="46"/>
        <v>48611</v>
      </c>
      <c r="D137" s="295">
        <f t="shared" si="41"/>
        <v>4588833.6321927086</v>
      </c>
      <c r="E137" s="295">
        <f t="shared" si="42"/>
        <v>-30010.234142609712</v>
      </c>
      <c r="F137" s="295">
        <f t="shared" si="33"/>
        <v>-8022.0729883529903</v>
      </c>
      <c r="G137" s="295">
        <f t="shared" si="34"/>
        <v>-21988.161154256723</v>
      </c>
      <c r="H137" s="298">
        <f t="shared" si="35"/>
        <v>4580811.5592043558</v>
      </c>
      <c r="J137" s="292">
        <f t="shared" si="55"/>
        <v>8</v>
      </c>
      <c r="K137" s="293">
        <f t="shared" si="47"/>
        <v>85</v>
      </c>
      <c r="L137" s="294">
        <f t="shared" si="48"/>
        <v>2558</v>
      </c>
      <c r="M137" s="295">
        <f t="shared" si="43"/>
        <v>0</v>
      </c>
      <c r="N137" s="295" t="e">
        <f t="shared" si="44"/>
        <v>#NUM!</v>
      </c>
      <c r="O137" s="295">
        <f t="shared" si="36"/>
        <v>0</v>
      </c>
      <c r="P137" s="295">
        <f t="shared" si="37"/>
        <v>0</v>
      </c>
      <c r="Q137" s="298">
        <f t="shared" si="38"/>
        <v>0</v>
      </c>
      <c r="S137" s="292">
        <f t="shared" si="56"/>
        <v>8</v>
      </c>
      <c r="T137" s="293">
        <f t="shared" si="49"/>
        <v>85</v>
      </c>
      <c r="U137" s="294">
        <f t="shared" si="50"/>
        <v>2558</v>
      </c>
      <c r="V137" s="295">
        <f t="shared" si="51"/>
        <v>0</v>
      </c>
      <c r="W137" s="290" t="e">
        <f t="shared" si="52"/>
        <v>#NUM!</v>
      </c>
      <c r="X137" s="295">
        <f t="shared" si="39"/>
        <v>0</v>
      </c>
      <c r="Y137" s="295" t="e">
        <f t="shared" si="40"/>
        <v>#NUM!</v>
      </c>
      <c r="Z137" s="295">
        <f t="shared" si="53"/>
        <v>0</v>
      </c>
      <c r="AA137" s="298"/>
      <c r="AC137"/>
      <c r="AD137"/>
      <c r="AE137"/>
      <c r="AF137"/>
      <c r="AG137"/>
      <c r="AH137"/>
      <c r="AI137"/>
      <c r="AJ137"/>
    </row>
    <row r="138" spans="1:36" hidden="1">
      <c r="A138" s="287">
        <f t="shared" si="54"/>
        <v>8</v>
      </c>
      <c r="B138" s="288">
        <f t="shared" si="45"/>
        <v>86</v>
      </c>
      <c r="C138" s="289">
        <f t="shared" si="46"/>
        <v>48639</v>
      </c>
      <c r="D138" s="290">
        <f t="shared" si="41"/>
        <v>4580811.5592043558</v>
      </c>
      <c r="E138" s="290">
        <f t="shared" si="42"/>
        <v>-30010.234142609712</v>
      </c>
      <c r="F138" s="290">
        <f t="shared" si="33"/>
        <v>-8060.512088088848</v>
      </c>
      <c r="G138" s="290">
        <f t="shared" si="34"/>
        <v>-21949.722054520866</v>
      </c>
      <c r="H138" s="291">
        <f t="shared" si="35"/>
        <v>4572751.0471162666</v>
      </c>
      <c r="J138" s="287">
        <f t="shared" si="55"/>
        <v>8</v>
      </c>
      <c r="K138" s="288">
        <f t="shared" si="47"/>
        <v>86</v>
      </c>
      <c r="L138" s="289">
        <f t="shared" si="48"/>
        <v>2589</v>
      </c>
      <c r="M138" s="290">
        <f t="shared" si="43"/>
        <v>0</v>
      </c>
      <c r="N138" s="290" t="e">
        <f t="shared" si="44"/>
        <v>#NUM!</v>
      </c>
      <c r="O138" s="290">
        <f t="shared" si="36"/>
        <v>0</v>
      </c>
      <c r="P138" s="290">
        <f t="shared" si="37"/>
        <v>0</v>
      </c>
      <c r="Q138" s="291">
        <f t="shared" si="38"/>
        <v>0</v>
      </c>
      <c r="S138" s="287">
        <f t="shared" si="56"/>
        <v>8</v>
      </c>
      <c r="T138" s="288">
        <f t="shared" si="49"/>
        <v>86</v>
      </c>
      <c r="U138" s="289">
        <f t="shared" si="50"/>
        <v>2589</v>
      </c>
      <c r="V138" s="290">
        <f t="shared" si="51"/>
        <v>0</v>
      </c>
      <c r="W138" s="290" t="e">
        <f t="shared" si="52"/>
        <v>#NUM!</v>
      </c>
      <c r="X138" s="290">
        <f t="shared" si="39"/>
        <v>0</v>
      </c>
      <c r="Y138" s="290" t="e">
        <f t="shared" si="40"/>
        <v>#NUM!</v>
      </c>
      <c r="Z138" s="290">
        <f t="shared" si="53"/>
        <v>0</v>
      </c>
      <c r="AA138" s="291"/>
      <c r="AC138"/>
      <c r="AD138"/>
      <c r="AE138"/>
      <c r="AF138"/>
      <c r="AG138"/>
      <c r="AH138"/>
      <c r="AI138"/>
      <c r="AJ138"/>
    </row>
    <row r="139" spans="1:36" hidden="1">
      <c r="A139" s="292">
        <f t="shared" si="54"/>
        <v>8</v>
      </c>
      <c r="B139" s="293">
        <f t="shared" si="45"/>
        <v>87</v>
      </c>
      <c r="C139" s="294">
        <f t="shared" si="46"/>
        <v>48670</v>
      </c>
      <c r="D139" s="295">
        <f t="shared" si="41"/>
        <v>4572751.0471162666</v>
      </c>
      <c r="E139" s="295">
        <f t="shared" si="42"/>
        <v>-30010.234142609712</v>
      </c>
      <c r="F139" s="295">
        <f t="shared" si="33"/>
        <v>-8099.1353751776087</v>
      </c>
      <c r="G139" s="295">
        <f t="shared" si="34"/>
        <v>-21911.098767432104</v>
      </c>
      <c r="H139" s="296">
        <f t="shared" si="35"/>
        <v>4564651.9117410891</v>
      </c>
      <c r="J139" s="292">
        <f t="shared" si="55"/>
        <v>8</v>
      </c>
      <c r="K139" s="293">
        <f t="shared" si="47"/>
        <v>87</v>
      </c>
      <c r="L139" s="294">
        <f t="shared" si="48"/>
        <v>2617</v>
      </c>
      <c r="M139" s="295">
        <f t="shared" si="43"/>
        <v>0</v>
      </c>
      <c r="N139" s="295" t="e">
        <f t="shared" si="44"/>
        <v>#NUM!</v>
      </c>
      <c r="O139" s="295">
        <f t="shared" si="36"/>
        <v>0</v>
      </c>
      <c r="P139" s="295">
        <f t="shared" si="37"/>
        <v>0</v>
      </c>
      <c r="Q139" s="296">
        <f t="shared" si="38"/>
        <v>0</v>
      </c>
      <c r="S139" s="292">
        <f t="shared" si="56"/>
        <v>8</v>
      </c>
      <c r="T139" s="293">
        <f t="shared" si="49"/>
        <v>87</v>
      </c>
      <c r="U139" s="294">
        <f t="shared" si="50"/>
        <v>2617</v>
      </c>
      <c r="V139" s="295">
        <f t="shared" si="51"/>
        <v>0</v>
      </c>
      <c r="W139" s="290" t="e">
        <f t="shared" si="52"/>
        <v>#NUM!</v>
      </c>
      <c r="X139" s="295">
        <f t="shared" si="39"/>
        <v>0</v>
      </c>
      <c r="Y139" s="295" t="e">
        <f t="shared" si="40"/>
        <v>#NUM!</v>
      </c>
      <c r="Z139" s="295">
        <f t="shared" si="53"/>
        <v>0</v>
      </c>
      <c r="AA139" s="296"/>
      <c r="AC139"/>
      <c r="AD139"/>
      <c r="AE139"/>
      <c r="AF139"/>
      <c r="AG139"/>
      <c r="AH139"/>
      <c r="AI139"/>
      <c r="AJ139"/>
    </row>
    <row r="140" spans="1:36" hidden="1">
      <c r="A140" s="287">
        <f t="shared" si="54"/>
        <v>8</v>
      </c>
      <c r="B140" s="288">
        <f t="shared" si="45"/>
        <v>88</v>
      </c>
      <c r="C140" s="289">
        <f t="shared" si="46"/>
        <v>48700</v>
      </c>
      <c r="D140" s="290">
        <f t="shared" si="41"/>
        <v>4564651.9117410891</v>
      </c>
      <c r="E140" s="290">
        <f t="shared" si="42"/>
        <v>-30010.234142609712</v>
      </c>
      <c r="F140" s="290">
        <f t="shared" si="33"/>
        <v>-8137.9437321836676</v>
      </c>
      <c r="G140" s="290">
        <f t="shared" si="34"/>
        <v>-21872.290410426045</v>
      </c>
      <c r="H140" s="291">
        <f t="shared" si="35"/>
        <v>4556513.9680089056</v>
      </c>
      <c r="J140" s="287">
        <f t="shared" si="55"/>
        <v>8</v>
      </c>
      <c r="K140" s="288">
        <f t="shared" si="47"/>
        <v>88</v>
      </c>
      <c r="L140" s="289">
        <f t="shared" si="48"/>
        <v>2648</v>
      </c>
      <c r="M140" s="290">
        <f t="shared" si="43"/>
        <v>0</v>
      </c>
      <c r="N140" s="290" t="e">
        <f t="shared" si="44"/>
        <v>#NUM!</v>
      </c>
      <c r="O140" s="290">
        <f t="shared" si="36"/>
        <v>0</v>
      </c>
      <c r="P140" s="290">
        <f t="shared" si="37"/>
        <v>0</v>
      </c>
      <c r="Q140" s="291">
        <f t="shared" si="38"/>
        <v>0</v>
      </c>
      <c r="S140" s="287">
        <f t="shared" si="56"/>
        <v>8</v>
      </c>
      <c r="T140" s="288">
        <f t="shared" si="49"/>
        <v>88</v>
      </c>
      <c r="U140" s="289">
        <f t="shared" si="50"/>
        <v>2648</v>
      </c>
      <c r="V140" s="290">
        <f t="shared" si="51"/>
        <v>0</v>
      </c>
      <c r="W140" s="290" t="e">
        <f t="shared" si="52"/>
        <v>#NUM!</v>
      </c>
      <c r="X140" s="290">
        <f t="shared" si="39"/>
        <v>0</v>
      </c>
      <c r="Y140" s="290" t="e">
        <f t="shared" si="40"/>
        <v>#NUM!</v>
      </c>
      <c r="Z140" s="290">
        <f t="shared" si="53"/>
        <v>0</v>
      </c>
      <c r="AA140" s="291"/>
      <c r="AC140"/>
      <c r="AD140"/>
      <c r="AE140"/>
      <c r="AF140"/>
      <c r="AG140"/>
      <c r="AH140"/>
      <c r="AI140"/>
      <c r="AJ140"/>
    </row>
    <row r="141" spans="1:36" hidden="1">
      <c r="A141" s="292">
        <f t="shared" si="54"/>
        <v>8</v>
      </c>
      <c r="B141" s="293">
        <f t="shared" si="45"/>
        <v>89</v>
      </c>
      <c r="C141" s="294">
        <f t="shared" si="46"/>
        <v>48731</v>
      </c>
      <c r="D141" s="295">
        <f t="shared" si="41"/>
        <v>4556513.9680089056</v>
      </c>
      <c r="E141" s="295">
        <f t="shared" si="42"/>
        <v>-30010.234142609712</v>
      </c>
      <c r="F141" s="295">
        <f t="shared" si="33"/>
        <v>-8176.9380459003805</v>
      </c>
      <c r="G141" s="295">
        <f t="shared" si="34"/>
        <v>-21833.296096709331</v>
      </c>
      <c r="H141" s="298">
        <f t="shared" si="35"/>
        <v>4548337.0299630053</v>
      </c>
      <c r="J141" s="292">
        <f t="shared" si="55"/>
        <v>8</v>
      </c>
      <c r="K141" s="293">
        <f t="shared" si="47"/>
        <v>89</v>
      </c>
      <c r="L141" s="294">
        <f t="shared" si="48"/>
        <v>2678</v>
      </c>
      <c r="M141" s="295">
        <f t="shared" si="43"/>
        <v>0</v>
      </c>
      <c r="N141" s="295" t="e">
        <f t="shared" si="44"/>
        <v>#NUM!</v>
      </c>
      <c r="O141" s="295">
        <f t="shared" si="36"/>
        <v>0</v>
      </c>
      <c r="P141" s="295">
        <f t="shared" si="37"/>
        <v>0</v>
      </c>
      <c r="Q141" s="298">
        <f t="shared" si="38"/>
        <v>0</v>
      </c>
      <c r="S141" s="292">
        <f t="shared" si="56"/>
        <v>8</v>
      </c>
      <c r="T141" s="293">
        <f t="shared" si="49"/>
        <v>89</v>
      </c>
      <c r="U141" s="294">
        <f t="shared" si="50"/>
        <v>2678</v>
      </c>
      <c r="V141" s="295">
        <f t="shared" si="51"/>
        <v>0</v>
      </c>
      <c r="W141" s="290" t="e">
        <f t="shared" si="52"/>
        <v>#NUM!</v>
      </c>
      <c r="X141" s="295">
        <f t="shared" si="39"/>
        <v>0</v>
      </c>
      <c r="Y141" s="295" t="e">
        <f t="shared" si="40"/>
        <v>#NUM!</v>
      </c>
      <c r="Z141" s="295">
        <f t="shared" si="53"/>
        <v>0</v>
      </c>
      <c r="AA141" s="298"/>
      <c r="AC141"/>
      <c r="AD141"/>
      <c r="AE141"/>
      <c r="AF141"/>
      <c r="AG141"/>
      <c r="AH141"/>
      <c r="AI141"/>
      <c r="AJ141"/>
    </row>
    <row r="142" spans="1:36" hidden="1">
      <c r="A142" s="287">
        <f t="shared" si="54"/>
        <v>8</v>
      </c>
      <c r="B142" s="288">
        <f t="shared" si="45"/>
        <v>90</v>
      </c>
      <c r="C142" s="289">
        <f t="shared" si="46"/>
        <v>48761</v>
      </c>
      <c r="D142" s="290">
        <f t="shared" si="41"/>
        <v>4548337.0299630053</v>
      </c>
      <c r="E142" s="290">
        <f t="shared" si="42"/>
        <v>-30010.234142609712</v>
      </c>
      <c r="F142" s="290">
        <f t="shared" si="33"/>
        <v>-8216.1192073703205</v>
      </c>
      <c r="G142" s="290">
        <f t="shared" si="34"/>
        <v>-21794.114935239395</v>
      </c>
      <c r="H142" s="291">
        <f t="shared" si="35"/>
        <v>4540120.9107556352</v>
      </c>
      <c r="J142" s="287">
        <f t="shared" si="55"/>
        <v>8</v>
      </c>
      <c r="K142" s="288">
        <f t="shared" si="47"/>
        <v>90</v>
      </c>
      <c r="L142" s="289">
        <f t="shared" si="48"/>
        <v>2709</v>
      </c>
      <c r="M142" s="290">
        <f t="shared" si="43"/>
        <v>0</v>
      </c>
      <c r="N142" s="290" t="e">
        <f t="shared" si="44"/>
        <v>#NUM!</v>
      </c>
      <c r="O142" s="290">
        <f t="shared" si="36"/>
        <v>0</v>
      </c>
      <c r="P142" s="290">
        <f t="shared" si="37"/>
        <v>0</v>
      </c>
      <c r="Q142" s="291">
        <f t="shared" si="38"/>
        <v>0</v>
      </c>
      <c r="S142" s="287">
        <f t="shared" si="56"/>
        <v>8</v>
      </c>
      <c r="T142" s="288">
        <f t="shared" si="49"/>
        <v>90</v>
      </c>
      <c r="U142" s="289">
        <f t="shared" si="50"/>
        <v>2709</v>
      </c>
      <c r="V142" s="290">
        <f t="shared" si="51"/>
        <v>0</v>
      </c>
      <c r="W142" s="290" t="e">
        <f t="shared" si="52"/>
        <v>#NUM!</v>
      </c>
      <c r="X142" s="290">
        <f t="shared" si="39"/>
        <v>0</v>
      </c>
      <c r="Y142" s="290" t="e">
        <f t="shared" si="40"/>
        <v>#NUM!</v>
      </c>
      <c r="Z142" s="290">
        <f t="shared" si="53"/>
        <v>0</v>
      </c>
      <c r="AA142" s="291"/>
      <c r="AC142"/>
      <c r="AD142"/>
      <c r="AE142"/>
      <c r="AF142"/>
      <c r="AG142"/>
      <c r="AH142"/>
      <c r="AI142"/>
      <c r="AJ142"/>
    </row>
    <row r="143" spans="1:36" hidden="1">
      <c r="A143" s="292">
        <f t="shared" si="54"/>
        <v>8</v>
      </c>
      <c r="B143" s="293">
        <f t="shared" si="45"/>
        <v>91</v>
      </c>
      <c r="C143" s="294">
        <f t="shared" si="46"/>
        <v>48792</v>
      </c>
      <c r="D143" s="295">
        <f t="shared" si="41"/>
        <v>4540120.9107556352</v>
      </c>
      <c r="E143" s="295">
        <f t="shared" si="42"/>
        <v>-30010.234142609712</v>
      </c>
      <c r="F143" s="295">
        <f t="shared" si="33"/>
        <v>-8255.4881119056372</v>
      </c>
      <c r="G143" s="295">
        <f t="shared" si="34"/>
        <v>-21754.746030704075</v>
      </c>
      <c r="H143" s="296">
        <f t="shared" si="35"/>
        <v>4531865.4226437295</v>
      </c>
      <c r="J143" s="292">
        <f t="shared" si="55"/>
        <v>8</v>
      </c>
      <c r="K143" s="293">
        <f t="shared" si="47"/>
        <v>91</v>
      </c>
      <c r="L143" s="294">
        <f t="shared" si="48"/>
        <v>2739</v>
      </c>
      <c r="M143" s="295">
        <f t="shared" si="43"/>
        <v>0</v>
      </c>
      <c r="N143" s="295" t="e">
        <f t="shared" si="44"/>
        <v>#NUM!</v>
      </c>
      <c r="O143" s="295">
        <f t="shared" si="36"/>
        <v>0</v>
      </c>
      <c r="P143" s="295">
        <f t="shared" si="37"/>
        <v>0</v>
      </c>
      <c r="Q143" s="296">
        <f t="shared" si="38"/>
        <v>0</v>
      </c>
      <c r="S143" s="292">
        <f t="shared" si="56"/>
        <v>8</v>
      </c>
      <c r="T143" s="293">
        <f t="shared" si="49"/>
        <v>91</v>
      </c>
      <c r="U143" s="294">
        <f t="shared" si="50"/>
        <v>2739</v>
      </c>
      <c r="V143" s="295">
        <f t="shared" si="51"/>
        <v>0</v>
      </c>
      <c r="W143" s="290" t="e">
        <f t="shared" si="52"/>
        <v>#NUM!</v>
      </c>
      <c r="X143" s="295">
        <f t="shared" si="39"/>
        <v>0</v>
      </c>
      <c r="Y143" s="295" t="e">
        <f t="shared" si="40"/>
        <v>#NUM!</v>
      </c>
      <c r="Z143" s="295">
        <f t="shared" si="53"/>
        <v>0</v>
      </c>
      <c r="AA143" s="296"/>
      <c r="AC143"/>
      <c r="AD143"/>
      <c r="AE143"/>
      <c r="AF143"/>
      <c r="AG143"/>
      <c r="AH143"/>
      <c r="AI143"/>
      <c r="AJ143"/>
    </row>
    <row r="144" spans="1:36" hidden="1">
      <c r="A144" s="287">
        <f t="shared" si="54"/>
        <v>8</v>
      </c>
      <c r="B144" s="288">
        <f t="shared" si="45"/>
        <v>92</v>
      </c>
      <c r="C144" s="289">
        <f t="shared" si="46"/>
        <v>48823</v>
      </c>
      <c r="D144" s="290">
        <f t="shared" si="41"/>
        <v>4531865.4226437295</v>
      </c>
      <c r="E144" s="290">
        <f t="shared" si="42"/>
        <v>-30010.234142609712</v>
      </c>
      <c r="F144" s="290">
        <f t="shared" si="33"/>
        <v>-8295.0456591085167</v>
      </c>
      <c r="G144" s="290">
        <f t="shared" si="34"/>
        <v>-21715.188483501199</v>
      </c>
      <c r="H144" s="291">
        <f t="shared" si="35"/>
        <v>4523570.3769846214</v>
      </c>
      <c r="J144" s="287">
        <f t="shared" si="55"/>
        <v>8</v>
      </c>
      <c r="K144" s="288">
        <f t="shared" si="47"/>
        <v>92</v>
      </c>
      <c r="L144" s="289">
        <f t="shared" si="48"/>
        <v>2770</v>
      </c>
      <c r="M144" s="290">
        <f t="shared" si="43"/>
        <v>0</v>
      </c>
      <c r="N144" s="290" t="e">
        <f t="shared" si="44"/>
        <v>#NUM!</v>
      </c>
      <c r="O144" s="290">
        <f t="shared" si="36"/>
        <v>0</v>
      </c>
      <c r="P144" s="290">
        <f t="shared" si="37"/>
        <v>0</v>
      </c>
      <c r="Q144" s="291">
        <f t="shared" si="38"/>
        <v>0</v>
      </c>
      <c r="S144" s="287">
        <f t="shared" si="56"/>
        <v>8</v>
      </c>
      <c r="T144" s="288">
        <f t="shared" si="49"/>
        <v>92</v>
      </c>
      <c r="U144" s="289">
        <f t="shared" si="50"/>
        <v>2770</v>
      </c>
      <c r="V144" s="290">
        <f t="shared" si="51"/>
        <v>0</v>
      </c>
      <c r="W144" s="290" t="e">
        <f t="shared" si="52"/>
        <v>#NUM!</v>
      </c>
      <c r="X144" s="290">
        <f t="shared" si="39"/>
        <v>0</v>
      </c>
      <c r="Y144" s="290" t="e">
        <f t="shared" si="40"/>
        <v>#NUM!</v>
      </c>
      <c r="Z144" s="290">
        <f t="shared" si="53"/>
        <v>0</v>
      </c>
      <c r="AA144" s="291"/>
      <c r="AC144"/>
      <c r="AD144"/>
      <c r="AE144"/>
      <c r="AF144"/>
      <c r="AG144"/>
      <c r="AH144"/>
      <c r="AI144"/>
      <c r="AJ144"/>
    </row>
    <row r="145" spans="1:36" hidden="1">
      <c r="A145" s="292">
        <f t="shared" si="54"/>
        <v>8</v>
      </c>
      <c r="B145" s="293">
        <f t="shared" si="45"/>
        <v>93</v>
      </c>
      <c r="C145" s="294">
        <f t="shared" si="46"/>
        <v>48853</v>
      </c>
      <c r="D145" s="295">
        <f t="shared" si="41"/>
        <v>4523570.3769846214</v>
      </c>
      <c r="E145" s="295">
        <f t="shared" si="42"/>
        <v>-30010.234142609712</v>
      </c>
      <c r="F145" s="295">
        <f t="shared" si="33"/>
        <v>-8334.7927528917462</v>
      </c>
      <c r="G145" s="295">
        <f t="shared" si="34"/>
        <v>-21675.441389717966</v>
      </c>
      <c r="H145" s="298">
        <f t="shared" si="35"/>
        <v>4515235.5842317296</v>
      </c>
      <c r="J145" s="292">
        <f t="shared" si="55"/>
        <v>8</v>
      </c>
      <c r="K145" s="293">
        <f t="shared" si="47"/>
        <v>93</v>
      </c>
      <c r="L145" s="294">
        <f t="shared" si="48"/>
        <v>2801</v>
      </c>
      <c r="M145" s="295">
        <f t="shared" si="43"/>
        <v>0</v>
      </c>
      <c r="N145" s="295" t="e">
        <f t="shared" si="44"/>
        <v>#NUM!</v>
      </c>
      <c r="O145" s="295">
        <f t="shared" si="36"/>
        <v>0</v>
      </c>
      <c r="P145" s="295">
        <f t="shared" si="37"/>
        <v>0</v>
      </c>
      <c r="Q145" s="298">
        <f t="shared" si="38"/>
        <v>0</v>
      </c>
      <c r="S145" s="292">
        <f t="shared" si="56"/>
        <v>8</v>
      </c>
      <c r="T145" s="293">
        <f t="shared" si="49"/>
        <v>93</v>
      </c>
      <c r="U145" s="294">
        <f t="shared" si="50"/>
        <v>2801</v>
      </c>
      <c r="V145" s="295">
        <f t="shared" si="51"/>
        <v>0</v>
      </c>
      <c r="W145" s="290" t="e">
        <f t="shared" si="52"/>
        <v>#NUM!</v>
      </c>
      <c r="X145" s="295">
        <f t="shared" si="39"/>
        <v>0</v>
      </c>
      <c r="Y145" s="295" t="e">
        <f t="shared" si="40"/>
        <v>#NUM!</v>
      </c>
      <c r="Z145" s="295">
        <f t="shared" si="53"/>
        <v>0</v>
      </c>
      <c r="AA145" s="298"/>
      <c r="AC145"/>
      <c r="AD145"/>
      <c r="AE145"/>
      <c r="AF145"/>
      <c r="AG145"/>
      <c r="AH145"/>
      <c r="AI145"/>
      <c r="AJ145"/>
    </row>
    <row r="146" spans="1:36" hidden="1">
      <c r="A146" s="287">
        <f t="shared" si="54"/>
        <v>8</v>
      </c>
      <c r="B146" s="288">
        <f t="shared" si="45"/>
        <v>94</v>
      </c>
      <c r="C146" s="289">
        <f t="shared" si="46"/>
        <v>48884</v>
      </c>
      <c r="D146" s="290">
        <f t="shared" si="41"/>
        <v>4515235.5842317296</v>
      </c>
      <c r="E146" s="290">
        <f t="shared" si="42"/>
        <v>-30010.234142609712</v>
      </c>
      <c r="F146" s="290">
        <f t="shared" si="33"/>
        <v>-8374.7303014993522</v>
      </c>
      <c r="G146" s="290">
        <f t="shared" si="34"/>
        <v>-21635.50384111036</v>
      </c>
      <c r="H146" s="291">
        <f t="shared" si="35"/>
        <v>4506860.8539302303</v>
      </c>
      <c r="J146" s="287">
        <f t="shared" si="55"/>
        <v>8</v>
      </c>
      <c r="K146" s="288">
        <f t="shared" si="47"/>
        <v>94</v>
      </c>
      <c r="L146" s="289">
        <f t="shared" si="48"/>
        <v>2831</v>
      </c>
      <c r="M146" s="290">
        <f t="shared" si="43"/>
        <v>0</v>
      </c>
      <c r="N146" s="290" t="e">
        <f t="shared" si="44"/>
        <v>#NUM!</v>
      </c>
      <c r="O146" s="290">
        <f t="shared" si="36"/>
        <v>0</v>
      </c>
      <c r="P146" s="290">
        <f t="shared" si="37"/>
        <v>0</v>
      </c>
      <c r="Q146" s="291">
        <f t="shared" si="38"/>
        <v>0</v>
      </c>
      <c r="S146" s="287">
        <f t="shared" si="56"/>
        <v>8</v>
      </c>
      <c r="T146" s="288">
        <f t="shared" si="49"/>
        <v>94</v>
      </c>
      <c r="U146" s="289">
        <f t="shared" si="50"/>
        <v>2831</v>
      </c>
      <c r="V146" s="290">
        <f t="shared" si="51"/>
        <v>0</v>
      </c>
      <c r="W146" s="290" t="e">
        <f t="shared" si="52"/>
        <v>#NUM!</v>
      </c>
      <c r="X146" s="290">
        <f t="shared" si="39"/>
        <v>0</v>
      </c>
      <c r="Y146" s="290" t="e">
        <f t="shared" si="40"/>
        <v>#NUM!</v>
      </c>
      <c r="Z146" s="290">
        <f t="shared" si="53"/>
        <v>0</v>
      </c>
      <c r="AA146" s="291"/>
      <c r="AC146"/>
      <c r="AD146"/>
      <c r="AE146"/>
      <c r="AF146"/>
      <c r="AG146"/>
      <c r="AH146"/>
      <c r="AI146"/>
      <c r="AJ146"/>
    </row>
    <row r="147" spans="1:36" hidden="1">
      <c r="A147" s="292">
        <f t="shared" si="54"/>
        <v>8</v>
      </c>
      <c r="B147" s="293">
        <f t="shared" si="45"/>
        <v>95</v>
      </c>
      <c r="C147" s="294">
        <f t="shared" si="46"/>
        <v>48914</v>
      </c>
      <c r="D147" s="295">
        <f t="shared" si="41"/>
        <v>4506860.8539302303</v>
      </c>
      <c r="E147" s="295">
        <f t="shared" si="42"/>
        <v>-30010.234142609712</v>
      </c>
      <c r="F147" s="295">
        <f t="shared" si="33"/>
        <v>-8414.8592175273679</v>
      </c>
      <c r="G147" s="295">
        <f t="shared" si="34"/>
        <v>-21595.374925082342</v>
      </c>
      <c r="H147" s="296">
        <f t="shared" si="35"/>
        <v>4498445.9947127029</v>
      </c>
      <c r="J147" s="292">
        <f t="shared" si="55"/>
        <v>8</v>
      </c>
      <c r="K147" s="293">
        <f t="shared" si="47"/>
        <v>95</v>
      </c>
      <c r="L147" s="294">
        <f t="shared" si="48"/>
        <v>2862</v>
      </c>
      <c r="M147" s="295">
        <f t="shared" si="43"/>
        <v>0</v>
      </c>
      <c r="N147" s="295" t="e">
        <f t="shared" si="44"/>
        <v>#NUM!</v>
      </c>
      <c r="O147" s="295">
        <f t="shared" si="36"/>
        <v>0</v>
      </c>
      <c r="P147" s="295">
        <f t="shared" si="37"/>
        <v>0</v>
      </c>
      <c r="Q147" s="296">
        <f t="shared" si="38"/>
        <v>0</v>
      </c>
      <c r="S147" s="292">
        <f t="shared" si="56"/>
        <v>8</v>
      </c>
      <c r="T147" s="293">
        <f t="shared" si="49"/>
        <v>95</v>
      </c>
      <c r="U147" s="294">
        <f t="shared" si="50"/>
        <v>2862</v>
      </c>
      <c r="V147" s="295">
        <f t="shared" si="51"/>
        <v>0</v>
      </c>
      <c r="W147" s="290" t="e">
        <f t="shared" si="52"/>
        <v>#NUM!</v>
      </c>
      <c r="X147" s="295">
        <f t="shared" si="39"/>
        <v>0</v>
      </c>
      <c r="Y147" s="295" t="e">
        <f t="shared" si="40"/>
        <v>#NUM!</v>
      </c>
      <c r="Z147" s="295">
        <f t="shared" si="53"/>
        <v>0</v>
      </c>
      <c r="AA147" s="296"/>
      <c r="AC147"/>
      <c r="AD147"/>
      <c r="AE147"/>
      <c r="AF147"/>
      <c r="AG147"/>
      <c r="AH147"/>
      <c r="AI147"/>
      <c r="AJ147"/>
    </row>
    <row r="148" spans="1:36" hidden="1">
      <c r="A148" s="287">
        <f t="shared" si="54"/>
        <v>8</v>
      </c>
      <c r="B148" s="288">
        <f t="shared" si="45"/>
        <v>96</v>
      </c>
      <c r="C148" s="289">
        <f t="shared" si="46"/>
        <v>48945</v>
      </c>
      <c r="D148" s="290">
        <f t="shared" si="41"/>
        <v>4498445.9947127029</v>
      </c>
      <c r="E148" s="290">
        <f t="shared" si="42"/>
        <v>-30010.234142609712</v>
      </c>
      <c r="F148" s="290">
        <f t="shared" si="33"/>
        <v>-8455.1804179446899</v>
      </c>
      <c r="G148" s="290">
        <f t="shared" si="34"/>
        <v>-21555.053724665024</v>
      </c>
      <c r="H148" s="291">
        <f t="shared" si="35"/>
        <v>4489990.8142947583</v>
      </c>
      <c r="J148" s="287">
        <f t="shared" si="55"/>
        <v>8</v>
      </c>
      <c r="K148" s="288">
        <f t="shared" si="47"/>
        <v>96</v>
      </c>
      <c r="L148" s="289">
        <f t="shared" si="48"/>
        <v>2892</v>
      </c>
      <c r="M148" s="290">
        <f t="shared" si="43"/>
        <v>0</v>
      </c>
      <c r="N148" s="290" t="e">
        <f t="shared" si="44"/>
        <v>#NUM!</v>
      </c>
      <c r="O148" s="290">
        <f t="shared" si="36"/>
        <v>0</v>
      </c>
      <c r="P148" s="290">
        <f t="shared" si="37"/>
        <v>0</v>
      </c>
      <c r="Q148" s="291">
        <f t="shared" si="38"/>
        <v>0</v>
      </c>
      <c r="S148" s="287">
        <f t="shared" si="56"/>
        <v>8</v>
      </c>
      <c r="T148" s="288">
        <f t="shared" si="49"/>
        <v>96</v>
      </c>
      <c r="U148" s="289">
        <f t="shared" si="50"/>
        <v>2892</v>
      </c>
      <c r="V148" s="290">
        <f t="shared" si="51"/>
        <v>0</v>
      </c>
      <c r="W148" s="290" t="e">
        <f t="shared" si="52"/>
        <v>#NUM!</v>
      </c>
      <c r="X148" s="290">
        <f t="shared" si="39"/>
        <v>0</v>
      </c>
      <c r="Y148" s="290" t="e">
        <f t="shared" si="40"/>
        <v>#NUM!</v>
      </c>
      <c r="Z148" s="290">
        <f t="shared" si="53"/>
        <v>0</v>
      </c>
      <c r="AA148" s="291"/>
      <c r="AC148"/>
      <c r="AD148"/>
      <c r="AE148"/>
      <c r="AF148"/>
      <c r="AG148"/>
      <c r="AH148"/>
      <c r="AI148"/>
      <c r="AJ148"/>
    </row>
    <row r="149" spans="1:36" hidden="1">
      <c r="A149" s="292">
        <f t="shared" si="54"/>
        <v>9</v>
      </c>
      <c r="B149" s="293">
        <f t="shared" si="45"/>
        <v>97</v>
      </c>
      <c r="C149" s="294">
        <f t="shared" si="46"/>
        <v>48976</v>
      </c>
      <c r="D149" s="295">
        <f t="shared" si="41"/>
        <v>4489990.8142947583</v>
      </c>
      <c r="E149" s="295">
        <f t="shared" si="42"/>
        <v>-30010.234142609712</v>
      </c>
      <c r="F149" s="295">
        <f t="shared" si="33"/>
        <v>-8495.6948241140071</v>
      </c>
      <c r="G149" s="295">
        <f t="shared" si="34"/>
        <v>-21514.539318495707</v>
      </c>
      <c r="H149" s="298">
        <f t="shared" si="35"/>
        <v>4481495.1194706438</v>
      </c>
      <c r="J149" s="292">
        <f t="shared" si="55"/>
        <v>9</v>
      </c>
      <c r="K149" s="293">
        <f t="shared" si="47"/>
        <v>97</v>
      </c>
      <c r="L149" s="294">
        <f t="shared" si="48"/>
        <v>2923</v>
      </c>
      <c r="M149" s="295">
        <f t="shared" si="43"/>
        <v>0</v>
      </c>
      <c r="N149" s="295" t="e">
        <f t="shared" si="44"/>
        <v>#NUM!</v>
      </c>
      <c r="O149" s="295">
        <f t="shared" si="36"/>
        <v>0</v>
      </c>
      <c r="P149" s="295">
        <f t="shared" si="37"/>
        <v>0</v>
      </c>
      <c r="Q149" s="298">
        <f t="shared" si="38"/>
        <v>0</v>
      </c>
      <c r="S149" s="292">
        <f t="shared" si="56"/>
        <v>9</v>
      </c>
      <c r="T149" s="293">
        <f t="shared" si="49"/>
        <v>97</v>
      </c>
      <c r="U149" s="294">
        <f t="shared" si="50"/>
        <v>2923</v>
      </c>
      <c r="V149" s="295">
        <f t="shared" si="51"/>
        <v>0</v>
      </c>
      <c r="W149" s="290" t="e">
        <f t="shared" si="52"/>
        <v>#NUM!</v>
      </c>
      <c r="X149" s="295">
        <f t="shared" si="39"/>
        <v>0</v>
      </c>
      <c r="Y149" s="295" t="e">
        <f t="shared" si="40"/>
        <v>#NUM!</v>
      </c>
      <c r="Z149" s="295">
        <f t="shared" si="53"/>
        <v>0</v>
      </c>
      <c r="AA149" s="298"/>
      <c r="AC149"/>
      <c r="AD149"/>
      <c r="AE149"/>
      <c r="AF149"/>
      <c r="AG149"/>
      <c r="AH149"/>
      <c r="AI149"/>
      <c r="AJ149"/>
    </row>
    <row r="150" spans="1:36" hidden="1">
      <c r="A150" s="287">
        <f t="shared" si="54"/>
        <v>9</v>
      </c>
      <c r="B150" s="288">
        <f t="shared" si="45"/>
        <v>98</v>
      </c>
      <c r="C150" s="289">
        <f t="shared" si="46"/>
        <v>49004</v>
      </c>
      <c r="D150" s="290">
        <f t="shared" si="41"/>
        <v>4481495.1194706438</v>
      </c>
      <c r="E150" s="290">
        <f t="shared" si="42"/>
        <v>-30010.234142609712</v>
      </c>
      <c r="F150" s="290">
        <f t="shared" si="33"/>
        <v>-8536.4033618128851</v>
      </c>
      <c r="G150" s="290">
        <f t="shared" si="34"/>
        <v>-21473.830780796827</v>
      </c>
      <c r="H150" s="291">
        <f t="shared" si="35"/>
        <v>4472958.7161088306</v>
      </c>
      <c r="J150" s="287">
        <f t="shared" si="55"/>
        <v>9</v>
      </c>
      <c r="K150" s="288">
        <f t="shared" si="47"/>
        <v>98</v>
      </c>
      <c r="L150" s="289">
        <f t="shared" si="48"/>
        <v>2954</v>
      </c>
      <c r="M150" s="290">
        <f t="shared" si="43"/>
        <v>0</v>
      </c>
      <c r="N150" s="290" t="e">
        <f t="shared" si="44"/>
        <v>#NUM!</v>
      </c>
      <c r="O150" s="290">
        <f t="shared" si="36"/>
        <v>0</v>
      </c>
      <c r="P150" s="290">
        <f t="shared" si="37"/>
        <v>0</v>
      </c>
      <c r="Q150" s="291">
        <f t="shared" si="38"/>
        <v>0</v>
      </c>
      <c r="S150" s="287">
        <f t="shared" si="56"/>
        <v>9</v>
      </c>
      <c r="T150" s="288">
        <f t="shared" si="49"/>
        <v>98</v>
      </c>
      <c r="U150" s="289">
        <f t="shared" si="50"/>
        <v>2954</v>
      </c>
      <c r="V150" s="290">
        <f t="shared" si="51"/>
        <v>0</v>
      </c>
      <c r="W150" s="290" t="e">
        <f t="shared" si="52"/>
        <v>#NUM!</v>
      </c>
      <c r="X150" s="290">
        <f t="shared" si="39"/>
        <v>0</v>
      </c>
      <c r="Y150" s="290" t="e">
        <f t="shared" si="40"/>
        <v>#NUM!</v>
      </c>
      <c r="Z150" s="290">
        <f t="shared" si="53"/>
        <v>0</v>
      </c>
      <c r="AA150" s="291"/>
      <c r="AC150"/>
      <c r="AD150"/>
      <c r="AE150"/>
      <c r="AF150"/>
      <c r="AG150"/>
      <c r="AH150"/>
      <c r="AI150"/>
      <c r="AJ150"/>
    </row>
    <row r="151" spans="1:36" hidden="1">
      <c r="A151" s="292">
        <f t="shared" si="54"/>
        <v>9</v>
      </c>
      <c r="B151" s="293">
        <f t="shared" si="45"/>
        <v>99</v>
      </c>
      <c r="C151" s="294">
        <f t="shared" si="46"/>
        <v>49035</v>
      </c>
      <c r="D151" s="295">
        <f t="shared" si="41"/>
        <v>4472958.7161088306</v>
      </c>
      <c r="E151" s="295">
        <f t="shared" si="42"/>
        <v>-30010.234142609712</v>
      </c>
      <c r="F151" s="295">
        <f t="shared" si="33"/>
        <v>-8577.3069612549043</v>
      </c>
      <c r="G151" s="295">
        <f t="shared" si="34"/>
        <v>-21432.927181354808</v>
      </c>
      <c r="H151" s="296">
        <f t="shared" si="35"/>
        <v>4464381.4091475755</v>
      </c>
      <c r="J151" s="292">
        <f t="shared" si="55"/>
        <v>9</v>
      </c>
      <c r="K151" s="293">
        <f t="shared" si="47"/>
        <v>99</v>
      </c>
      <c r="L151" s="294">
        <f t="shared" si="48"/>
        <v>2983</v>
      </c>
      <c r="M151" s="295">
        <f t="shared" si="43"/>
        <v>0</v>
      </c>
      <c r="N151" s="295" t="e">
        <f t="shared" si="44"/>
        <v>#NUM!</v>
      </c>
      <c r="O151" s="295">
        <f t="shared" si="36"/>
        <v>0</v>
      </c>
      <c r="P151" s="295">
        <f t="shared" si="37"/>
        <v>0</v>
      </c>
      <c r="Q151" s="296">
        <f t="shared" si="38"/>
        <v>0</v>
      </c>
      <c r="S151" s="292">
        <f t="shared" si="56"/>
        <v>9</v>
      </c>
      <c r="T151" s="293">
        <f t="shared" si="49"/>
        <v>99</v>
      </c>
      <c r="U151" s="294">
        <f t="shared" si="50"/>
        <v>2983</v>
      </c>
      <c r="V151" s="295">
        <f t="shared" si="51"/>
        <v>0</v>
      </c>
      <c r="W151" s="290" t="e">
        <f t="shared" si="52"/>
        <v>#NUM!</v>
      </c>
      <c r="X151" s="295">
        <f t="shared" si="39"/>
        <v>0</v>
      </c>
      <c r="Y151" s="295" t="e">
        <f t="shared" si="40"/>
        <v>#NUM!</v>
      </c>
      <c r="Z151" s="295">
        <f t="shared" si="53"/>
        <v>0</v>
      </c>
      <c r="AA151" s="296"/>
      <c r="AC151"/>
      <c r="AD151"/>
      <c r="AE151"/>
      <c r="AF151"/>
      <c r="AG151"/>
      <c r="AH151"/>
      <c r="AI151"/>
      <c r="AJ151"/>
    </row>
    <row r="152" spans="1:36" hidden="1">
      <c r="A152" s="287">
        <f t="shared" si="54"/>
        <v>9</v>
      </c>
      <c r="B152" s="288">
        <f t="shared" si="45"/>
        <v>100</v>
      </c>
      <c r="C152" s="289">
        <f t="shared" si="46"/>
        <v>49065</v>
      </c>
      <c r="D152" s="290">
        <f t="shared" si="41"/>
        <v>4464381.4091475755</v>
      </c>
      <c r="E152" s="290">
        <f t="shared" si="42"/>
        <v>-30010.234142609712</v>
      </c>
      <c r="F152" s="290">
        <f t="shared" si="33"/>
        <v>-8618.4065571109204</v>
      </c>
      <c r="G152" s="290">
        <f t="shared" si="34"/>
        <v>-21391.827585498791</v>
      </c>
      <c r="H152" s="291">
        <f t="shared" si="35"/>
        <v>4455763.0025904644</v>
      </c>
      <c r="J152" s="287">
        <f t="shared" si="55"/>
        <v>9</v>
      </c>
      <c r="K152" s="288">
        <f t="shared" si="47"/>
        <v>100</v>
      </c>
      <c r="L152" s="289">
        <f t="shared" si="48"/>
        <v>3014</v>
      </c>
      <c r="M152" s="290">
        <f t="shared" si="43"/>
        <v>0</v>
      </c>
      <c r="N152" s="290" t="e">
        <f t="shared" si="44"/>
        <v>#NUM!</v>
      </c>
      <c r="O152" s="290">
        <f t="shared" si="36"/>
        <v>0</v>
      </c>
      <c r="P152" s="290">
        <f t="shared" si="37"/>
        <v>0</v>
      </c>
      <c r="Q152" s="291">
        <f t="shared" si="38"/>
        <v>0</v>
      </c>
      <c r="S152" s="287">
        <f t="shared" si="56"/>
        <v>9</v>
      </c>
      <c r="T152" s="288">
        <f t="shared" si="49"/>
        <v>100</v>
      </c>
      <c r="U152" s="289">
        <f t="shared" si="50"/>
        <v>3014</v>
      </c>
      <c r="V152" s="290">
        <f t="shared" si="51"/>
        <v>0</v>
      </c>
      <c r="W152" s="290" t="e">
        <f t="shared" si="52"/>
        <v>#NUM!</v>
      </c>
      <c r="X152" s="290">
        <f t="shared" si="39"/>
        <v>0</v>
      </c>
      <c r="Y152" s="290" t="e">
        <f t="shared" si="40"/>
        <v>#NUM!</v>
      </c>
      <c r="Z152" s="290">
        <f t="shared" si="53"/>
        <v>0</v>
      </c>
      <c r="AA152" s="291"/>
      <c r="AC152"/>
      <c r="AD152"/>
      <c r="AE152"/>
      <c r="AF152"/>
      <c r="AG152"/>
      <c r="AH152"/>
      <c r="AI152"/>
      <c r="AJ152"/>
    </row>
    <row r="153" spans="1:36" hidden="1">
      <c r="A153" s="292">
        <f t="shared" si="54"/>
        <v>9</v>
      </c>
      <c r="B153" s="293">
        <f t="shared" si="45"/>
        <v>101</v>
      </c>
      <c r="C153" s="294">
        <f t="shared" si="46"/>
        <v>49096</v>
      </c>
      <c r="D153" s="295">
        <f t="shared" si="41"/>
        <v>4455763.0025904644</v>
      </c>
      <c r="E153" s="295">
        <f t="shared" si="42"/>
        <v>-30010.234142609712</v>
      </c>
      <c r="F153" s="295">
        <f t="shared" si="33"/>
        <v>-8659.7030885304084</v>
      </c>
      <c r="G153" s="295">
        <f t="shared" si="34"/>
        <v>-21350.531054079303</v>
      </c>
      <c r="H153" s="298">
        <f t="shared" si="35"/>
        <v>4447103.2995019341</v>
      </c>
      <c r="J153" s="292">
        <f t="shared" si="55"/>
        <v>9</v>
      </c>
      <c r="K153" s="293">
        <f t="shared" si="47"/>
        <v>101</v>
      </c>
      <c r="L153" s="294">
        <f t="shared" si="48"/>
        <v>3044</v>
      </c>
      <c r="M153" s="295">
        <f t="shared" si="43"/>
        <v>0</v>
      </c>
      <c r="N153" s="295" t="e">
        <f t="shared" si="44"/>
        <v>#NUM!</v>
      </c>
      <c r="O153" s="295">
        <f t="shared" si="36"/>
        <v>0</v>
      </c>
      <c r="P153" s="295">
        <f t="shared" si="37"/>
        <v>0</v>
      </c>
      <c r="Q153" s="298">
        <f t="shared" si="38"/>
        <v>0</v>
      </c>
      <c r="S153" s="292">
        <f t="shared" si="56"/>
        <v>9</v>
      </c>
      <c r="T153" s="293">
        <f t="shared" si="49"/>
        <v>101</v>
      </c>
      <c r="U153" s="294">
        <f t="shared" si="50"/>
        <v>3044</v>
      </c>
      <c r="V153" s="295">
        <f t="shared" si="51"/>
        <v>0</v>
      </c>
      <c r="W153" s="290" t="e">
        <f t="shared" si="52"/>
        <v>#NUM!</v>
      </c>
      <c r="X153" s="295">
        <f t="shared" si="39"/>
        <v>0</v>
      </c>
      <c r="Y153" s="295" t="e">
        <f t="shared" si="40"/>
        <v>#NUM!</v>
      </c>
      <c r="Z153" s="295">
        <f t="shared" si="53"/>
        <v>0</v>
      </c>
      <c r="AA153" s="298"/>
      <c r="AC153"/>
      <c r="AD153"/>
      <c r="AE153"/>
      <c r="AF153"/>
      <c r="AG153"/>
      <c r="AH153"/>
      <c r="AI153"/>
      <c r="AJ153"/>
    </row>
    <row r="154" spans="1:36" hidden="1">
      <c r="A154" s="287">
        <f t="shared" si="54"/>
        <v>9</v>
      </c>
      <c r="B154" s="288">
        <f t="shared" si="45"/>
        <v>102</v>
      </c>
      <c r="C154" s="289">
        <f t="shared" si="46"/>
        <v>49126</v>
      </c>
      <c r="D154" s="290">
        <f t="shared" si="41"/>
        <v>4447103.2995019341</v>
      </c>
      <c r="E154" s="290">
        <f t="shared" si="42"/>
        <v>-30010.234142609712</v>
      </c>
      <c r="F154" s="290">
        <f t="shared" si="33"/>
        <v>-8701.1974991629504</v>
      </c>
      <c r="G154" s="290">
        <f t="shared" si="34"/>
        <v>-21309.036643446765</v>
      </c>
      <c r="H154" s="291">
        <f t="shared" si="35"/>
        <v>4438402.1020027716</v>
      </c>
      <c r="J154" s="287">
        <f t="shared" si="55"/>
        <v>9</v>
      </c>
      <c r="K154" s="288">
        <f t="shared" si="47"/>
        <v>102</v>
      </c>
      <c r="L154" s="289">
        <f t="shared" si="48"/>
        <v>3075</v>
      </c>
      <c r="M154" s="290">
        <f t="shared" si="43"/>
        <v>0</v>
      </c>
      <c r="N154" s="290" t="e">
        <f t="shared" si="44"/>
        <v>#NUM!</v>
      </c>
      <c r="O154" s="290">
        <f t="shared" si="36"/>
        <v>0</v>
      </c>
      <c r="P154" s="290">
        <f t="shared" si="37"/>
        <v>0</v>
      </c>
      <c r="Q154" s="291">
        <f t="shared" si="38"/>
        <v>0</v>
      </c>
      <c r="S154" s="287">
        <f t="shared" si="56"/>
        <v>9</v>
      </c>
      <c r="T154" s="288">
        <f t="shared" si="49"/>
        <v>102</v>
      </c>
      <c r="U154" s="289">
        <f t="shared" si="50"/>
        <v>3075</v>
      </c>
      <c r="V154" s="290">
        <f t="shared" si="51"/>
        <v>0</v>
      </c>
      <c r="W154" s="290" t="e">
        <f t="shared" si="52"/>
        <v>#NUM!</v>
      </c>
      <c r="X154" s="290">
        <f t="shared" si="39"/>
        <v>0</v>
      </c>
      <c r="Y154" s="290" t="e">
        <f t="shared" si="40"/>
        <v>#NUM!</v>
      </c>
      <c r="Z154" s="290">
        <f t="shared" si="53"/>
        <v>0</v>
      </c>
      <c r="AA154" s="291"/>
      <c r="AC154"/>
      <c r="AD154"/>
      <c r="AE154"/>
      <c r="AF154"/>
      <c r="AG154"/>
      <c r="AH154"/>
      <c r="AI154"/>
      <c r="AJ154"/>
    </row>
    <row r="155" spans="1:36" hidden="1">
      <c r="A155" s="292">
        <f t="shared" si="54"/>
        <v>9</v>
      </c>
      <c r="B155" s="293">
        <f t="shared" si="45"/>
        <v>103</v>
      </c>
      <c r="C155" s="294">
        <f t="shared" si="46"/>
        <v>49157</v>
      </c>
      <c r="D155" s="295">
        <f t="shared" si="41"/>
        <v>4438402.1020027716</v>
      </c>
      <c r="E155" s="295">
        <f t="shared" si="42"/>
        <v>-30010.234142609712</v>
      </c>
      <c r="F155" s="295">
        <f t="shared" si="33"/>
        <v>-8742.8907371797741</v>
      </c>
      <c r="G155" s="295">
        <f t="shared" si="34"/>
        <v>-21267.34340542994</v>
      </c>
      <c r="H155" s="296">
        <f t="shared" si="35"/>
        <v>4429659.2112655919</v>
      </c>
      <c r="J155" s="292">
        <f t="shared" si="55"/>
        <v>9</v>
      </c>
      <c r="K155" s="293">
        <f t="shared" si="47"/>
        <v>103</v>
      </c>
      <c r="L155" s="294">
        <f t="shared" si="48"/>
        <v>3105</v>
      </c>
      <c r="M155" s="295">
        <f t="shared" si="43"/>
        <v>0</v>
      </c>
      <c r="N155" s="295" t="e">
        <f t="shared" si="44"/>
        <v>#NUM!</v>
      </c>
      <c r="O155" s="295">
        <f t="shared" si="36"/>
        <v>0</v>
      </c>
      <c r="P155" s="295">
        <f t="shared" si="37"/>
        <v>0</v>
      </c>
      <c r="Q155" s="296">
        <f t="shared" si="38"/>
        <v>0</v>
      </c>
      <c r="S155" s="292">
        <f t="shared" si="56"/>
        <v>9</v>
      </c>
      <c r="T155" s="293">
        <f t="shared" si="49"/>
        <v>103</v>
      </c>
      <c r="U155" s="294">
        <f t="shared" si="50"/>
        <v>3105</v>
      </c>
      <c r="V155" s="295">
        <f t="shared" si="51"/>
        <v>0</v>
      </c>
      <c r="W155" s="290" t="e">
        <f t="shared" si="52"/>
        <v>#NUM!</v>
      </c>
      <c r="X155" s="295">
        <f t="shared" si="39"/>
        <v>0</v>
      </c>
      <c r="Y155" s="295" t="e">
        <f t="shared" si="40"/>
        <v>#NUM!</v>
      </c>
      <c r="Z155" s="295">
        <f t="shared" si="53"/>
        <v>0</v>
      </c>
      <c r="AA155" s="296"/>
      <c r="AC155"/>
      <c r="AD155"/>
      <c r="AE155"/>
      <c r="AF155"/>
      <c r="AG155"/>
      <c r="AH155"/>
      <c r="AI155"/>
      <c r="AJ155"/>
    </row>
    <row r="156" spans="1:36" hidden="1">
      <c r="A156" s="287">
        <f t="shared" si="54"/>
        <v>9</v>
      </c>
      <c r="B156" s="288">
        <f t="shared" si="45"/>
        <v>104</v>
      </c>
      <c r="C156" s="289">
        <f t="shared" si="46"/>
        <v>49188</v>
      </c>
      <c r="D156" s="290">
        <f t="shared" si="41"/>
        <v>4429659.2112655919</v>
      </c>
      <c r="E156" s="290">
        <f t="shared" si="42"/>
        <v>-30010.234142609712</v>
      </c>
      <c r="F156" s="290">
        <f t="shared" si="33"/>
        <v>-8784.7837552954261</v>
      </c>
      <c r="G156" s="290">
        <f t="shared" si="34"/>
        <v>-21225.450387314289</v>
      </c>
      <c r="H156" s="291">
        <f t="shared" si="35"/>
        <v>4420874.4275102969</v>
      </c>
      <c r="J156" s="287">
        <f t="shared" si="55"/>
        <v>9</v>
      </c>
      <c r="K156" s="288">
        <f t="shared" si="47"/>
        <v>104</v>
      </c>
      <c r="L156" s="289">
        <f t="shared" si="48"/>
        <v>3136</v>
      </c>
      <c r="M156" s="290">
        <f t="shared" si="43"/>
        <v>0</v>
      </c>
      <c r="N156" s="290" t="e">
        <f t="shared" si="44"/>
        <v>#NUM!</v>
      </c>
      <c r="O156" s="290">
        <f t="shared" si="36"/>
        <v>0</v>
      </c>
      <c r="P156" s="290">
        <f t="shared" si="37"/>
        <v>0</v>
      </c>
      <c r="Q156" s="291">
        <f t="shared" si="38"/>
        <v>0</v>
      </c>
      <c r="S156" s="287">
        <f t="shared" si="56"/>
        <v>9</v>
      </c>
      <c r="T156" s="288">
        <f t="shared" si="49"/>
        <v>104</v>
      </c>
      <c r="U156" s="289">
        <f t="shared" si="50"/>
        <v>3136</v>
      </c>
      <c r="V156" s="290">
        <f t="shared" si="51"/>
        <v>0</v>
      </c>
      <c r="W156" s="290" t="e">
        <f t="shared" si="52"/>
        <v>#NUM!</v>
      </c>
      <c r="X156" s="290">
        <f t="shared" si="39"/>
        <v>0</v>
      </c>
      <c r="Y156" s="290" t="e">
        <f t="shared" si="40"/>
        <v>#NUM!</v>
      </c>
      <c r="Z156" s="290">
        <f t="shared" si="53"/>
        <v>0</v>
      </c>
      <c r="AA156" s="291"/>
      <c r="AC156"/>
      <c r="AD156"/>
      <c r="AE156"/>
      <c r="AF156"/>
      <c r="AG156"/>
      <c r="AH156"/>
      <c r="AI156"/>
      <c r="AJ156"/>
    </row>
    <row r="157" spans="1:36" hidden="1">
      <c r="A157" s="292">
        <f t="shared" si="54"/>
        <v>9</v>
      </c>
      <c r="B157" s="293">
        <f t="shared" si="45"/>
        <v>105</v>
      </c>
      <c r="C157" s="294">
        <f t="shared" si="46"/>
        <v>49218</v>
      </c>
      <c r="D157" s="295">
        <f t="shared" si="41"/>
        <v>4420874.4275102969</v>
      </c>
      <c r="E157" s="295">
        <f t="shared" si="42"/>
        <v>-30010.234142609712</v>
      </c>
      <c r="F157" s="295">
        <f t="shared" si="33"/>
        <v>-8826.8775107895508</v>
      </c>
      <c r="G157" s="295">
        <f t="shared" si="34"/>
        <v>-21183.356631820163</v>
      </c>
      <c r="H157" s="298">
        <f t="shared" si="35"/>
        <v>4412047.5499995071</v>
      </c>
      <c r="J157" s="292">
        <f t="shared" si="55"/>
        <v>9</v>
      </c>
      <c r="K157" s="293">
        <f t="shared" si="47"/>
        <v>105</v>
      </c>
      <c r="L157" s="294">
        <f t="shared" si="48"/>
        <v>3167</v>
      </c>
      <c r="M157" s="295">
        <f t="shared" si="43"/>
        <v>0</v>
      </c>
      <c r="N157" s="295" t="e">
        <f t="shared" si="44"/>
        <v>#NUM!</v>
      </c>
      <c r="O157" s="295">
        <f t="shared" si="36"/>
        <v>0</v>
      </c>
      <c r="P157" s="295">
        <f t="shared" si="37"/>
        <v>0</v>
      </c>
      <c r="Q157" s="298">
        <f t="shared" si="38"/>
        <v>0</v>
      </c>
      <c r="S157" s="292">
        <f t="shared" si="56"/>
        <v>9</v>
      </c>
      <c r="T157" s="293">
        <f t="shared" si="49"/>
        <v>105</v>
      </c>
      <c r="U157" s="294">
        <f t="shared" si="50"/>
        <v>3167</v>
      </c>
      <c r="V157" s="295">
        <f t="shared" si="51"/>
        <v>0</v>
      </c>
      <c r="W157" s="290" t="e">
        <f t="shared" si="52"/>
        <v>#NUM!</v>
      </c>
      <c r="X157" s="295">
        <f t="shared" si="39"/>
        <v>0</v>
      </c>
      <c r="Y157" s="295" t="e">
        <f t="shared" si="40"/>
        <v>#NUM!</v>
      </c>
      <c r="Z157" s="295">
        <f t="shared" si="53"/>
        <v>0</v>
      </c>
      <c r="AA157" s="298"/>
      <c r="AC157"/>
      <c r="AD157"/>
      <c r="AE157"/>
      <c r="AF157"/>
      <c r="AG157"/>
      <c r="AH157"/>
      <c r="AI157"/>
      <c r="AJ157"/>
    </row>
    <row r="158" spans="1:36" hidden="1">
      <c r="A158" s="287">
        <f t="shared" si="54"/>
        <v>9</v>
      </c>
      <c r="B158" s="288">
        <f t="shared" si="45"/>
        <v>106</v>
      </c>
      <c r="C158" s="289">
        <f t="shared" si="46"/>
        <v>49249</v>
      </c>
      <c r="D158" s="290">
        <f t="shared" si="41"/>
        <v>4412047.5499995071</v>
      </c>
      <c r="E158" s="290">
        <f t="shared" si="42"/>
        <v>-30010.234142609712</v>
      </c>
      <c r="F158" s="290">
        <f t="shared" si="33"/>
        <v>-8869.1729655287509</v>
      </c>
      <c r="G158" s="290">
        <f t="shared" si="34"/>
        <v>-21141.061177080959</v>
      </c>
      <c r="H158" s="291">
        <f t="shared" si="35"/>
        <v>4403178.3770339787</v>
      </c>
      <c r="J158" s="287">
        <f t="shared" si="55"/>
        <v>9</v>
      </c>
      <c r="K158" s="288">
        <f t="shared" si="47"/>
        <v>106</v>
      </c>
      <c r="L158" s="289">
        <f t="shared" si="48"/>
        <v>3197</v>
      </c>
      <c r="M158" s="290">
        <f t="shared" si="43"/>
        <v>0</v>
      </c>
      <c r="N158" s="290" t="e">
        <f t="shared" si="44"/>
        <v>#NUM!</v>
      </c>
      <c r="O158" s="290">
        <f t="shared" si="36"/>
        <v>0</v>
      </c>
      <c r="P158" s="290">
        <f t="shared" si="37"/>
        <v>0</v>
      </c>
      <c r="Q158" s="291">
        <f t="shared" si="38"/>
        <v>0</v>
      </c>
      <c r="S158" s="287">
        <f t="shared" si="56"/>
        <v>9</v>
      </c>
      <c r="T158" s="288">
        <f t="shared" si="49"/>
        <v>106</v>
      </c>
      <c r="U158" s="289">
        <f t="shared" si="50"/>
        <v>3197</v>
      </c>
      <c r="V158" s="290">
        <f t="shared" si="51"/>
        <v>0</v>
      </c>
      <c r="W158" s="290" t="e">
        <f t="shared" si="52"/>
        <v>#NUM!</v>
      </c>
      <c r="X158" s="290">
        <f t="shared" si="39"/>
        <v>0</v>
      </c>
      <c r="Y158" s="290" t="e">
        <f t="shared" si="40"/>
        <v>#NUM!</v>
      </c>
      <c r="Z158" s="290">
        <f t="shared" si="53"/>
        <v>0</v>
      </c>
      <c r="AA158" s="291"/>
      <c r="AC158"/>
      <c r="AD158"/>
      <c r="AE158"/>
      <c r="AF158"/>
      <c r="AG158"/>
      <c r="AH158"/>
      <c r="AI158"/>
      <c r="AJ158"/>
    </row>
    <row r="159" spans="1:36" hidden="1">
      <c r="A159" s="292">
        <f t="shared" si="54"/>
        <v>9</v>
      </c>
      <c r="B159" s="293">
        <f t="shared" si="45"/>
        <v>107</v>
      </c>
      <c r="C159" s="294">
        <f t="shared" si="46"/>
        <v>49279</v>
      </c>
      <c r="D159" s="295">
        <f t="shared" si="41"/>
        <v>4403178.3770339787</v>
      </c>
      <c r="E159" s="295">
        <f t="shared" si="42"/>
        <v>-30010.234142609712</v>
      </c>
      <c r="F159" s="295">
        <f t="shared" si="33"/>
        <v>-8911.6710859885734</v>
      </c>
      <c r="G159" s="295">
        <f t="shared" si="34"/>
        <v>-21098.563056621137</v>
      </c>
      <c r="H159" s="296">
        <f t="shared" si="35"/>
        <v>4394266.7059479905</v>
      </c>
      <c r="J159" s="292">
        <f t="shared" si="55"/>
        <v>9</v>
      </c>
      <c r="K159" s="293">
        <f t="shared" si="47"/>
        <v>107</v>
      </c>
      <c r="L159" s="294">
        <f t="shared" si="48"/>
        <v>3228</v>
      </c>
      <c r="M159" s="295">
        <f t="shared" si="43"/>
        <v>0</v>
      </c>
      <c r="N159" s="295" t="e">
        <f t="shared" si="44"/>
        <v>#NUM!</v>
      </c>
      <c r="O159" s="295">
        <f t="shared" si="36"/>
        <v>0</v>
      </c>
      <c r="P159" s="295">
        <f t="shared" si="37"/>
        <v>0</v>
      </c>
      <c r="Q159" s="296">
        <f t="shared" si="38"/>
        <v>0</v>
      </c>
      <c r="S159" s="292">
        <f t="shared" si="56"/>
        <v>9</v>
      </c>
      <c r="T159" s="293">
        <f t="shared" si="49"/>
        <v>107</v>
      </c>
      <c r="U159" s="294">
        <f t="shared" si="50"/>
        <v>3228</v>
      </c>
      <c r="V159" s="295">
        <f t="shared" si="51"/>
        <v>0</v>
      </c>
      <c r="W159" s="290" t="e">
        <f t="shared" si="52"/>
        <v>#NUM!</v>
      </c>
      <c r="X159" s="295">
        <f t="shared" si="39"/>
        <v>0</v>
      </c>
      <c r="Y159" s="295" t="e">
        <f t="shared" si="40"/>
        <v>#NUM!</v>
      </c>
      <c r="Z159" s="295">
        <f t="shared" si="53"/>
        <v>0</v>
      </c>
      <c r="AA159" s="296"/>
      <c r="AC159"/>
      <c r="AD159"/>
      <c r="AE159"/>
      <c r="AF159"/>
      <c r="AG159"/>
      <c r="AH159"/>
      <c r="AI159"/>
      <c r="AJ159"/>
    </row>
    <row r="160" spans="1:36" hidden="1">
      <c r="A160" s="287">
        <f t="shared" si="54"/>
        <v>9</v>
      </c>
      <c r="B160" s="288">
        <f t="shared" si="45"/>
        <v>108</v>
      </c>
      <c r="C160" s="289">
        <f t="shared" si="46"/>
        <v>49310</v>
      </c>
      <c r="D160" s="290">
        <f t="shared" si="41"/>
        <v>4394266.7059479905</v>
      </c>
      <c r="E160" s="290">
        <f t="shared" si="42"/>
        <v>-30010.234142609712</v>
      </c>
      <c r="F160" s="290">
        <f t="shared" si="33"/>
        <v>-8954.3728432756034</v>
      </c>
      <c r="G160" s="290">
        <f t="shared" si="34"/>
        <v>-21055.861299334108</v>
      </c>
      <c r="H160" s="291">
        <f t="shared" si="35"/>
        <v>4385312.3331047148</v>
      </c>
      <c r="J160" s="287">
        <f t="shared" si="55"/>
        <v>9</v>
      </c>
      <c r="K160" s="288">
        <f t="shared" si="47"/>
        <v>108</v>
      </c>
      <c r="L160" s="289">
        <f t="shared" si="48"/>
        <v>3258</v>
      </c>
      <c r="M160" s="290">
        <f t="shared" si="43"/>
        <v>0</v>
      </c>
      <c r="N160" s="290" t="e">
        <f t="shared" si="44"/>
        <v>#NUM!</v>
      </c>
      <c r="O160" s="290">
        <f t="shared" si="36"/>
        <v>0</v>
      </c>
      <c r="P160" s="290">
        <f t="shared" si="37"/>
        <v>0</v>
      </c>
      <c r="Q160" s="291">
        <f t="shared" si="38"/>
        <v>0</v>
      </c>
      <c r="S160" s="287">
        <f t="shared" si="56"/>
        <v>9</v>
      </c>
      <c r="T160" s="288">
        <f t="shared" si="49"/>
        <v>108</v>
      </c>
      <c r="U160" s="289">
        <f t="shared" si="50"/>
        <v>3258</v>
      </c>
      <c r="V160" s="290">
        <f t="shared" si="51"/>
        <v>0</v>
      </c>
      <c r="W160" s="290" t="e">
        <f t="shared" si="52"/>
        <v>#NUM!</v>
      </c>
      <c r="X160" s="290">
        <f t="shared" si="39"/>
        <v>0</v>
      </c>
      <c r="Y160" s="290" t="e">
        <f t="shared" si="40"/>
        <v>#NUM!</v>
      </c>
      <c r="Z160" s="290">
        <f t="shared" si="53"/>
        <v>0</v>
      </c>
      <c r="AA160" s="291"/>
      <c r="AC160"/>
      <c r="AD160"/>
      <c r="AE160"/>
      <c r="AF160"/>
      <c r="AG160"/>
      <c r="AH160"/>
      <c r="AI160"/>
      <c r="AJ160"/>
    </row>
    <row r="161" spans="1:36" hidden="1">
      <c r="A161" s="292">
        <f t="shared" si="54"/>
        <v>10</v>
      </c>
      <c r="B161" s="293">
        <f t="shared" si="45"/>
        <v>109</v>
      </c>
      <c r="C161" s="294">
        <f t="shared" si="46"/>
        <v>49341</v>
      </c>
      <c r="D161" s="295">
        <f t="shared" si="41"/>
        <v>4385312.3331047148</v>
      </c>
      <c r="E161" s="295">
        <f t="shared" si="42"/>
        <v>-30010.234142609712</v>
      </c>
      <c r="F161" s="295">
        <f t="shared" si="33"/>
        <v>-8997.2792131496335</v>
      </c>
      <c r="G161" s="295">
        <f t="shared" si="34"/>
        <v>-21012.95492946008</v>
      </c>
      <c r="H161" s="298">
        <f t="shared" si="35"/>
        <v>4376315.0538915647</v>
      </c>
      <c r="J161" s="292">
        <f t="shared" si="55"/>
        <v>10</v>
      </c>
      <c r="K161" s="293">
        <f t="shared" si="47"/>
        <v>109</v>
      </c>
      <c r="L161" s="294">
        <f t="shared" si="48"/>
        <v>3289</v>
      </c>
      <c r="M161" s="295">
        <f t="shared" si="43"/>
        <v>0</v>
      </c>
      <c r="N161" s="295" t="e">
        <f t="shared" si="44"/>
        <v>#NUM!</v>
      </c>
      <c r="O161" s="295">
        <f t="shared" si="36"/>
        <v>0</v>
      </c>
      <c r="P161" s="295">
        <f t="shared" si="37"/>
        <v>0</v>
      </c>
      <c r="Q161" s="298">
        <f t="shared" si="38"/>
        <v>0</v>
      </c>
      <c r="S161" s="292">
        <f t="shared" si="56"/>
        <v>10</v>
      </c>
      <c r="T161" s="293">
        <f t="shared" si="49"/>
        <v>109</v>
      </c>
      <c r="U161" s="294">
        <f t="shared" si="50"/>
        <v>3289</v>
      </c>
      <c r="V161" s="295">
        <f t="shared" si="51"/>
        <v>0</v>
      </c>
      <c r="W161" s="290" t="e">
        <f t="shared" si="52"/>
        <v>#NUM!</v>
      </c>
      <c r="X161" s="295">
        <f t="shared" si="39"/>
        <v>0</v>
      </c>
      <c r="Y161" s="295" t="e">
        <f t="shared" si="40"/>
        <v>#NUM!</v>
      </c>
      <c r="Z161" s="295">
        <f t="shared" si="53"/>
        <v>0</v>
      </c>
      <c r="AA161" s="298"/>
      <c r="AC161"/>
      <c r="AD161"/>
      <c r="AE161"/>
      <c r="AF161"/>
      <c r="AG161"/>
      <c r="AH161"/>
      <c r="AI161"/>
      <c r="AJ161"/>
    </row>
    <row r="162" spans="1:36" hidden="1">
      <c r="A162" s="287">
        <f t="shared" si="54"/>
        <v>10</v>
      </c>
      <c r="B162" s="288">
        <f t="shared" si="45"/>
        <v>110</v>
      </c>
      <c r="C162" s="289">
        <f t="shared" si="46"/>
        <v>49369</v>
      </c>
      <c r="D162" s="290">
        <f t="shared" si="41"/>
        <v>4376315.0538915647</v>
      </c>
      <c r="E162" s="290">
        <f t="shared" si="42"/>
        <v>-30010.234142609712</v>
      </c>
      <c r="F162" s="290">
        <f t="shared" si="33"/>
        <v>-9040.3911760459741</v>
      </c>
      <c r="G162" s="290">
        <f t="shared" si="34"/>
        <v>-20969.842966563741</v>
      </c>
      <c r="H162" s="291">
        <f t="shared" si="35"/>
        <v>4367274.6627155188</v>
      </c>
      <c r="J162" s="287">
        <f t="shared" si="55"/>
        <v>10</v>
      </c>
      <c r="K162" s="288">
        <f t="shared" si="47"/>
        <v>110</v>
      </c>
      <c r="L162" s="289">
        <f t="shared" si="48"/>
        <v>3320</v>
      </c>
      <c r="M162" s="290">
        <f t="shared" si="43"/>
        <v>0</v>
      </c>
      <c r="N162" s="290" t="e">
        <f t="shared" si="44"/>
        <v>#NUM!</v>
      </c>
      <c r="O162" s="290">
        <f t="shared" si="36"/>
        <v>0</v>
      </c>
      <c r="P162" s="290">
        <f t="shared" si="37"/>
        <v>0</v>
      </c>
      <c r="Q162" s="291">
        <f t="shared" si="38"/>
        <v>0</v>
      </c>
      <c r="S162" s="287">
        <f t="shared" si="56"/>
        <v>10</v>
      </c>
      <c r="T162" s="288">
        <f t="shared" si="49"/>
        <v>110</v>
      </c>
      <c r="U162" s="289">
        <f t="shared" si="50"/>
        <v>3320</v>
      </c>
      <c r="V162" s="290">
        <f t="shared" si="51"/>
        <v>0</v>
      </c>
      <c r="W162" s="290" t="e">
        <f t="shared" si="52"/>
        <v>#NUM!</v>
      </c>
      <c r="X162" s="290">
        <f t="shared" si="39"/>
        <v>0</v>
      </c>
      <c r="Y162" s="290" t="e">
        <f t="shared" si="40"/>
        <v>#NUM!</v>
      </c>
      <c r="Z162" s="290">
        <f t="shared" si="53"/>
        <v>0</v>
      </c>
      <c r="AA162" s="291"/>
      <c r="AC162"/>
      <c r="AD162"/>
      <c r="AE162"/>
      <c r="AF162"/>
      <c r="AG162"/>
      <c r="AH162"/>
      <c r="AI162"/>
      <c r="AJ162"/>
    </row>
    <row r="163" spans="1:36" hidden="1">
      <c r="A163" s="292">
        <f t="shared" si="54"/>
        <v>10</v>
      </c>
      <c r="B163" s="293">
        <f t="shared" si="45"/>
        <v>111</v>
      </c>
      <c r="C163" s="294">
        <f t="shared" si="46"/>
        <v>49400</v>
      </c>
      <c r="D163" s="295">
        <f t="shared" si="41"/>
        <v>4367274.6627155188</v>
      </c>
      <c r="E163" s="295">
        <f t="shared" si="42"/>
        <v>-30010.234142609712</v>
      </c>
      <c r="F163" s="295">
        <f t="shared" si="33"/>
        <v>-9083.7097170978614</v>
      </c>
      <c r="G163" s="295">
        <f t="shared" si="34"/>
        <v>-20926.524425511849</v>
      </c>
      <c r="H163" s="296">
        <f t="shared" si="35"/>
        <v>4358190.9529984212</v>
      </c>
      <c r="J163" s="292">
        <f t="shared" si="55"/>
        <v>10</v>
      </c>
      <c r="K163" s="293">
        <f t="shared" si="47"/>
        <v>111</v>
      </c>
      <c r="L163" s="294">
        <f t="shared" si="48"/>
        <v>3348</v>
      </c>
      <c r="M163" s="295">
        <f t="shared" si="43"/>
        <v>0</v>
      </c>
      <c r="N163" s="295" t="e">
        <f t="shared" si="44"/>
        <v>#NUM!</v>
      </c>
      <c r="O163" s="295">
        <f t="shared" si="36"/>
        <v>0</v>
      </c>
      <c r="P163" s="295">
        <f t="shared" si="37"/>
        <v>0</v>
      </c>
      <c r="Q163" s="296">
        <f t="shared" si="38"/>
        <v>0</v>
      </c>
      <c r="S163" s="292">
        <f t="shared" si="56"/>
        <v>10</v>
      </c>
      <c r="T163" s="293">
        <f t="shared" si="49"/>
        <v>111</v>
      </c>
      <c r="U163" s="294">
        <f t="shared" si="50"/>
        <v>3348</v>
      </c>
      <c r="V163" s="295">
        <f t="shared" si="51"/>
        <v>0</v>
      </c>
      <c r="W163" s="290" t="e">
        <f t="shared" si="52"/>
        <v>#NUM!</v>
      </c>
      <c r="X163" s="295">
        <f t="shared" si="39"/>
        <v>0</v>
      </c>
      <c r="Y163" s="295" t="e">
        <f t="shared" si="40"/>
        <v>#NUM!</v>
      </c>
      <c r="Z163" s="295">
        <f t="shared" si="53"/>
        <v>0</v>
      </c>
      <c r="AA163" s="296"/>
      <c r="AC163"/>
      <c r="AD163"/>
      <c r="AE163"/>
      <c r="AF163"/>
      <c r="AG163"/>
      <c r="AH163"/>
      <c r="AI163"/>
      <c r="AJ163"/>
    </row>
    <row r="164" spans="1:36" hidden="1">
      <c r="A164" s="287">
        <f t="shared" si="54"/>
        <v>10</v>
      </c>
      <c r="B164" s="288">
        <f t="shared" si="45"/>
        <v>112</v>
      </c>
      <c r="C164" s="289">
        <f t="shared" si="46"/>
        <v>49430</v>
      </c>
      <c r="D164" s="290">
        <f t="shared" si="41"/>
        <v>4358190.9529984212</v>
      </c>
      <c r="E164" s="290">
        <f t="shared" si="42"/>
        <v>-30010.234142609712</v>
      </c>
      <c r="F164" s="290">
        <f t="shared" si="33"/>
        <v>-9127.2358261589561</v>
      </c>
      <c r="G164" s="290">
        <f t="shared" si="34"/>
        <v>-20882.998316450758</v>
      </c>
      <c r="H164" s="291">
        <f t="shared" si="35"/>
        <v>4349063.7171722623</v>
      </c>
      <c r="J164" s="287">
        <f t="shared" si="55"/>
        <v>10</v>
      </c>
      <c r="K164" s="288">
        <f t="shared" si="47"/>
        <v>112</v>
      </c>
      <c r="L164" s="289">
        <f t="shared" si="48"/>
        <v>3379</v>
      </c>
      <c r="M164" s="290">
        <f t="shared" si="43"/>
        <v>0</v>
      </c>
      <c r="N164" s="290" t="e">
        <f t="shared" si="44"/>
        <v>#NUM!</v>
      </c>
      <c r="O164" s="290">
        <f t="shared" si="36"/>
        <v>0</v>
      </c>
      <c r="P164" s="290">
        <f t="shared" si="37"/>
        <v>0</v>
      </c>
      <c r="Q164" s="291">
        <f t="shared" si="38"/>
        <v>0</v>
      </c>
      <c r="S164" s="287">
        <f t="shared" si="56"/>
        <v>10</v>
      </c>
      <c r="T164" s="288">
        <f t="shared" si="49"/>
        <v>112</v>
      </c>
      <c r="U164" s="289">
        <f t="shared" si="50"/>
        <v>3379</v>
      </c>
      <c r="V164" s="290">
        <f t="shared" si="51"/>
        <v>0</v>
      </c>
      <c r="W164" s="290" t="e">
        <f t="shared" si="52"/>
        <v>#NUM!</v>
      </c>
      <c r="X164" s="290">
        <f t="shared" si="39"/>
        <v>0</v>
      </c>
      <c r="Y164" s="290" t="e">
        <f t="shared" si="40"/>
        <v>#NUM!</v>
      </c>
      <c r="Z164" s="290">
        <f t="shared" si="53"/>
        <v>0</v>
      </c>
      <c r="AA164" s="291"/>
      <c r="AC164"/>
      <c r="AD164"/>
      <c r="AE164"/>
      <c r="AF164"/>
      <c r="AG164"/>
      <c r="AH164"/>
      <c r="AI164"/>
      <c r="AJ164"/>
    </row>
    <row r="165" spans="1:36" hidden="1">
      <c r="A165" s="292">
        <f t="shared" si="54"/>
        <v>10</v>
      </c>
      <c r="B165" s="293">
        <f t="shared" si="45"/>
        <v>113</v>
      </c>
      <c r="C165" s="294">
        <f t="shared" si="46"/>
        <v>49461</v>
      </c>
      <c r="D165" s="295">
        <f t="shared" si="41"/>
        <v>4349063.7171722623</v>
      </c>
      <c r="E165" s="295">
        <f t="shared" si="42"/>
        <v>-30010.234142609712</v>
      </c>
      <c r="F165" s="295">
        <f t="shared" si="33"/>
        <v>-9170.970497825967</v>
      </c>
      <c r="G165" s="295">
        <f t="shared" si="34"/>
        <v>-20839.263644783747</v>
      </c>
      <c r="H165" s="298">
        <f t="shared" si="35"/>
        <v>4339892.7466744361</v>
      </c>
      <c r="J165" s="292">
        <f t="shared" si="55"/>
        <v>10</v>
      </c>
      <c r="K165" s="293">
        <f t="shared" si="47"/>
        <v>113</v>
      </c>
      <c r="L165" s="294">
        <f t="shared" si="48"/>
        <v>3409</v>
      </c>
      <c r="M165" s="295">
        <f t="shared" si="43"/>
        <v>0</v>
      </c>
      <c r="N165" s="295" t="e">
        <f t="shared" si="44"/>
        <v>#NUM!</v>
      </c>
      <c r="O165" s="295">
        <f t="shared" si="36"/>
        <v>0</v>
      </c>
      <c r="P165" s="295">
        <f t="shared" si="37"/>
        <v>0</v>
      </c>
      <c r="Q165" s="298">
        <f t="shared" si="38"/>
        <v>0</v>
      </c>
      <c r="S165" s="292">
        <f t="shared" si="56"/>
        <v>10</v>
      </c>
      <c r="T165" s="293">
        <f t="shared" si="49"/>
        <v>113</v>
      </c>
      <c r="U165" s="294">
        <f t="shared" si="50"/>
        <v>3409</v>
      </c>
      <c r="V165" s="295">
        <f t="shared" si="51"/>
        <v>0</v>
      </c>
      <c r="W165" s="290" t="e">
        <f t="shared" si="52"/>
        <v>#NUM!</v>
      </c>
      <c r="X165" s="295">
        <f t="shared" si="39"/>
        <v>0</v>
      </c>
      <c r="Y165" s="295" t="e">
        <f t="shared" si="40"/>
        <v>#NUM!</v>
      </c>
      <c r="Z165" s="295">
        <f t="shared" si="53"/>
        <v>0</v>
      </c>
      <c r="AA165" s="298"/>
      <c r="AC165"/>
      <c r="AD165"/>
      <c r="AE165"/>
      <c r="AF165"/>
      <c r="AG165"/>
      <c r="AH165"/>
      <c r="AI165"/>
      <c r="AJ165"/>
    </row>
    <row r="166" spans="1:36" hidden="1">
      <c r="A166" s="287">
        <f t="shared" si="54"/>
        <v>10</v>
      </c>
      <c r="B166" s="288">
        <f t="shared" si="45"/>
        <v>114</v>
      </c>
      <c r="C166" s="289">
        <f t="shared" si="46"/>
        <v>49491</v>
      </c>
      <c r="D166" s="290">
        <f t="shared" si="41"/>
        <v>4339892.7466744361</v>
      </c>
      <c r="E166" s="290">
        <f t="shared" si="42"/>
        <v>-30010.234142609712</v>
      </c>
      <c r="F166" s="290">
        <f t="shared" si="33"/>
        <v>-9214.9147314613838</v>
      </c>
      <c r="G166" s="290">
        <f t="shared" si="34"/>
        <v>-20795.319411148328</v>
      </c>
      <c r="H166" s="291">
        <f t="shared" si="35"/>
        <v>4330677.8319429746</v>
      </c>
      <c r="J166" s="287">
        <f t="shared" si="55"/>
        <v>10</v>
      </c>
      <c r="K166" s="288">
        <f t="shared" si="47"/>
        <v>114</v>
      </c>
      <c r="L166" s="289">
        <f t="shared" si="48"/>
        <v>3440</v>
      </c>
      <c r="M166" s="290">
        <f t="shared" si="43"/>
        <v>0</v>
      </c>
      <c r="N166" s="290" t="e">
        <f t="shared" si="44"/>
        <v>#NUM!</v>
      </c>
      <c r="O166" s="290">
        <f t="shared" si="36"/>
        <v>0</v>
      </c>
      <c r="P166" s="290">
        <f t="shared" si="37"/>
        <v>0</v>
      </c>
      <c r="Q166" s="291">
        <f t="shared" si="38"/>
        <v>0</v>
      </c>
      <c r="S166" s="287">
        <f t="shared" si="56"/>
        <v>10</v>
      </c>
      <c r="T166" s="288">
        <f t="shared" si="49"/>
        <v>114</v>
      </c>
      <c r="U166" s="289">
        <f t="shared" si="50"/>
        <v>3440</v>
      </c>
      <c r="V166" s="290">
        <f t="shared" si="51"/>
        <v>0</v>
      </c>
      <c r="W166" s="290" t="e">
        <f t="shared" si="52"/>
        <v>#NUM!</v>
      </c>
      <c r="X166" s="290">
        <f t="shared" si="39"/>
        <v>0</v>
      </c>
      <c r="Y166" s="290" t="e">
        <f t="shared" si="40"/>
        <v>#NUM!</v>
      </c>
      <c r="Z166" s="290">
        <f t="shared" si="53"/>
        <v>0</v>
      </c>
      <c r="AA166" s="291"/>
      <c r="AC166"/>
      <c r="AD166"/>
      <c r="AE166"/>
      <c r="AF166"/>
      <c r="AG166"/>
      <c r="AH166"/>
      <c r="AI166"/>
      <c r="AJ166"/>
    </row>
    <row r="167" spans="1:36" hidden="1">
      <c r="A167" s="292">
        <f t="shared" si="54"/>
        <v>10</v>
      </c>
      <c r="B167" s="293">
        <f t="shared" si="45"/>
        <v>115</v>
      </c>
      <c r="C167" s="294">
        <f t="shared" si="46"/>
        <v>49522</v>
      </c>
      <c r="D167" s="295">
        <f t="shared" si="41"/>
        <v>4330677.8319429746</v>
      </c>
      <c r="E167" s="295">
        <f t="shared" si="42"/>
        <v>-30010.234142609712</v>
      </c>
      <c r="F167" s="295">
        <f t="shared" si="33"/>
        <v>-9259.0695312163025</v>
      </c>
      <c r="G167" s="295">
        <f t="shared" si="34"/>
        <v>-20751.164611393408</v>
      </c>
      <c r="H167" s="296">
        <f t="shared" si="35"/>
        <v>4321418.7624117583</v>
      </c>
      <c r="J167" s="292">
        <f t="shared" si="55"/>
        <v>10</v>
      </c>
      <c r="K167" s="293">
        <f t="shared" si="47"/>
        <v>115</v>
      </c>
      <c r="L167" s="294">
        <f t="shared" si="48"/>
        <v>3470</v>
      </c>
      <c r="M167" s="295">
        <f t="shared" si="43"/>
        <v>0</v>
      </c>
      <c r="N167" s="295" t="e">
        <f t="shared" si="44"/>
        <v>#NUM!</v>
      </c>
      <c r="O167" s="295">
        <f t="shared" si="36"/>
        <v>0</v>
      </c>
      <c r="P167" s="295">
        <f t="shared" si="37"/>
        <v>0</v>
      </c>
      <c r="Q167" s="296">
        <f t="shared" si="38"/>
        <v>0</v>
      </c>
      <c r="S167" s="292">
        <f t="shared" si="56"/>
        <v>10</v>
      </c>
      <c r="T167" s="293">
        <f t="shared" si="49"/>
        <v>115</v>
      </c>
      <c r="U167" s="294">
        <f t="shared" si="50"/>
        <v>3470</v>
      </c>
      <c r="V167" s="295">
        <f t="shared" si="51"/>
        <v>0</v>
      </c>
      <c r="W167" s="290" t="e">
        <f t="shared" si="52"/>
        <v>#NUM!</v>
      </c>
      <c r="X167" s="295">
        <f t="shared" si="39"/>
        <v>0</v>
      </c>
      <c r="Y167" s="295" t="e">
        <f t="shared" si="40"/>
        <v>#NUM!</v>
      </c>
      <c r="Z167" s="295">
        <f t="shared" si="53"/>
        <v>0</v>
      </c>
      <c r="AA167" s="296"/>
      <c r="AC167"/>
      <c r="AD167"/>
      <c r="AE167"/>
      <c r="AF167"/>
      <c r="AG167"/>
      <c r="AH167"/>
      <c r="AI167"/>
      <c r="AJ167"/>
    </row>
    <row r="168" spans="1:36" hidden="1">
      <c r="A168" s="287">
        <f t="shared" si="54"/>
        <v>10</v>
      </c>
      <c r="B168" s="288">
        <f t="shared" si="45"/>
        <v>116</v>
      </c>
      <c r="C168" s="289">
        <f t="shared" si="46"/>
        <v>49553</v>
      </c>
      <c r="D168" s="290">
        <f t="shared" si="41"/>
        <v>4321418.7624117583</v>
      </c>
      <c r="E168" s="290">
        <f t="shared" si="42"/>
        <v>-30010.234142609712</v>
      </c>
      <c r="F168" s="290">
        <f t="shared" si="33"/>
        <v>-9303.4359060533807</v>
      </c>
      <c r="G168" s="290">
        <f t="shared" si="34"/>
        <v>-20706.798236556337</v>
      </c>
      <c r="H168" s="291">
        <f t="shared" si="35"/>
        <v>4312115.3265057048</v>
      </c>
      <c r="J168" s="287">
        <f t="shared" si="55"/>
        <v>10</v>
      </c>
      <c r="K168" s="288">
        <f t="shared" si="47"/>
        <v>116</v>
      </c>
      <c r="L168" s="289">
        <f t="shared" si="48"/>
        <v>3501</v>
      </c>
      <c r="M168" s="290">
        <f t="shared" si="43"/>
        <v>0</v>
      </c>
      <c r="N168" s="290" t="e">
        <f t="shared" si="44"/>
        <v>#NUM!</v>
      </c>
      <c r="O168" s="290">
        <f t="shared" si="36"/>
        <v>0</v>
      </c>
      <c r="P168" s="290">
        <f t="shared" si="37"/>
        <v>0</v>
      </c>
      <c r="Q168" s="291">
        <f t="shared" si="38"/>
        <v>0</v>
      </c>
      <c r="S168" s="287">
        <f t="shared" si="56"/>
        <v>10</v>
      </c>
      <c r="T168" s="288">
        <f t="shared" si="49"/>
        <v>116</v>
      </c>
      <c r="U168" s="289">
        <f t="shared" si="50"/>
        <v>3501</v>
      </c>
      <c r="V168" s="290">
        <f t="shared" si="51"/>
        <v>0</v>
      </c>
      <c r="W168" s="290" t="e">
        <f t="shared" si="52"/>
        <v>#NUM!</v>
      </c>
      <c r="X168" s="290">
        <f t="shared" si="39"/>
        <v>0</v>
      </c>
      <c r="Y168" s="290" t="e">
        <f t="shared" si="40"/>
        <v>#NUM!</v>
      </c>
      <c r="Z168" s="290">
        <f t="shared" si="53"/>
        <v>0</v>
      </c>
      <c r="AA168" s="291"/>
      <c r="AC168"/>
      <c r="AD168"/>
      <c r="AE168"/>
      <c r="AF168"/>
      <c r="AG168"/>
      <c r="AH168"/>
      <c r="AI168"/>
      <c r="AJ168"/>
    </row>
    <row r="169" spans="1:36" hidden="1">
      <c r="A169" s="292">
        <f t="shared" si="54"/>
        <v>10</v>
      </c>
      <c r="B169" s="293">
        <f t="shared" si="45"/>
        <v>117</v>
      </c>
      <c r="C169" s="294">
        <f t="shared" si="46"/>
        <v>49583</v>
      </c>
      <c r="D169" s="295">
        <f t="shared" si="41"/>
        <v>4312115.3265057048</v>
      </c>
      <c r="E169" s="295">
        <f t="shared" si="42"/>
        <v>-30010.234142609712</v>
      </c>
      <c r="F169" s="295">
        <f t="shared" si="33"/>
        <v>-9348.014869769886</v>
      </c>
      <c r="G169" s="295">
        <f t="shared" si="34"/>
        <v>-20662.21927283983</v>
      </c>
      <c r="H169" s="298">
        <f t="shared" si="35"/>
        <v>4302767.3116359347</v>
      </c>
      <c r="J169" s="292">
        <f t="shared" si="55"/>
        <v>10</v>
      </c>
      <c r="K169" s="293">
        <f t="shared" si="47"/>
        <v>117</v>
      </c>
      <c r="L169" s="294">
        <f t="shared" si="48"/>
        <v>3532</v>
      </c>
      <c r="M169" s="295">
        <f t="shared" si="43"/>
        <v>0</v>
      </c>
      <c r="N169" s="295" t="e">
        <f t="shared" si="44"/>
        <v>#NUM!</v>
      </c>
      <c r="O169" s="295">
        <f t="shared" si="36"/>
        <v>0</v>
      </c>
      <c r="P169" s="295">
        <f t="shared" si="37"/>
        <v>0</v>
      </c>
      <c r="Q169" s="298">
        <f t="shared" si="38"/>
        <v>0</v>
      </c>
      <c r="S169" s="292">
        <f t="shared" si="56"/>
        <v>10</v>
      </c>
      <c r="T169" s="293">
        <f t="shared" si="49"/>
        <v>117</v>
      </c>
      <c r="U169" s="294">
        <f t="shared" si="50"/>
        <v>3532</v>
      </c>
      <c r="V169" s="295">
        <f t="shared" si="51"/>
        <v>0</v>
      </c>
      <c r="W169" s="290" t="e">
        <f t="shared" si="52"/>
        <v>#NUM!</v>
      </c>
      <c r="X169" s="295">
        <f t="shared" si="39"/>
        <v>0</v>
      </c>
      <c r="Y169" s="295" t="e">
        <f t="shared" si="40"/>
        <v>#NUM!</v>
      </c>
      <c r="Z169" s="295">
        <f t="shared" si="53"/>
        <v>0</v>
      </c>
      <c r="AA169" s="298"/>
      <c r="AC169"/>
      <c r="AD169"/>
      <c r="AE169"/>
      <c r="AF169"/>
      <c r="AG169"/>
      <c r="AH169"/>
      <c r="AI169"/>
      <c r="AJ169"/>
    </row>
    <row r="170" spans="1:36" hidden="1">
      <c r="A170" s="287">
        <f t="shared" si="54"/>
        <v>10</v>
      </c>
      <c r="B170" s="288">
        <f t="shared" si="45"/>
        <v>118</v>
      </c>
      <c r="C170" s="289">
        <f t="shared" si="46"/>
        <v>49614</v>
      </c>
      <c r="D170" s="290">
        <f t="shared" si="41"/>
        <v>4302767.3116359347</v>
      </c>
      <c r="E170" s="290">
        <f t="shared" si="42"/>
        <v>-30010.234142609712</v>
      </c>
      <c r="F170" s="290">
        <f t="shared" si="33"/>
        <v>-9392.8074410208683</v>
      </c>
      <c r="G170" s="290">
        <f t="shared" si="34"/>
        <v>-20617.426701588844</v>
      </c>
      <c r="H170" s="291">
        <f t="shared" si="35"/>
        <v>4293374.5041949134</v>
      </c>
      <c r="J170" s="287">
        <f t="shared" si="55"/>
        <v>10</v>
      </c>
      <c r="K170" s="288">
        <f t="shared" si="47"/>
        <v>118</v>
      </c>
      <c r="L170" s="289">
        <f t="shared" si="48"/>
        <v>3562</v>
      </c>
      <c r="M170" s="290">
        <f t="shared" si="43"/>
        <v>0</v>
      </c>
      <c r="N170" s="290" t="e">
        <f t="shared" si="44"/>
        <v>#NUM!</v>
      </c>
      <c r="O170" s="290">
        <f t="shared" si="36"/>
        <v>0</v>
      </c>
      <c r="P170" s="290">
        <f t="shared" si="37"/>
        <v>0</v>
      </c>
      <c r="Q170" s="291">
        <f t="shared" si="38"/>
        <v>0</v>
      </c>
      <c r="S170" s="287">
        <f t="shared" si="56"/>
        <v>10</v>
      </c>
      <c r="T170" s="288">
        <f t="shared" si="49"/>
        <v>118</v>
      </c>
      <c r="U170" s="289">
        <f t="shared" si="50"/>
        <v>3562</v>
      </c>
      <c r="V170" s="290">
        <f t="shared" si="51"/>
        <v>0</v>
      </c>
      <c r="W170" s="290" t="e">
        <f t="shared" si="52"/>
        <v>#NUM!</v>
      </c>
      <c r="X170" s="290">
        <f t="shared" si="39"/>
        <v>0</v>
      </c>
      <c r="Y170" s="290" t="e">
        <f t="shared" si="40"/>
        <v>#NUM!</v>
      </c>
      <c r="Z170" s="290">
        <f t="shared" si="53"/>
        <v>0</v>
      </c>
      <c r="AA170" s="291"/>
      <c r="AC170"/>
      <c r="AD170"/>
      <c r="AE170"/>
      <c r="AF170"/>
      <c r="AG170"/>
      <c r="AH170"/>
      <c r="AI170"/>
      <c r="AJ170"/>
    </row>
    <row r="171" spans="1:36" hidden="1">
      <c r="A171" s="292">
        <f t="shared" si="54"/>
        <v>10</v>
      </c>
      <c r="B171" s="293">
        <f t="shared" si="45"/>
        <v>119</v>
      </c>
      <c r="C171" s="294">
        <f t="shared" si="46"/>
        <v>49644</v>
      </c>
      <c r="D171" s="295">
        <f t="shared" si="41"/>
        <v>4293374.5041949134</v>
      </c>
      <c r="E171" s="295">
        <f t="shared" si="42"/>
        <v>-30010.234142609712</v>
      </c>
      <c r="F171" s="295">
        <f t="shared" si="33"/>
        <v>-9437.8146433424245</v>
      </c>
      <c r="G171" s="295">
        <f t="shared" si="34"/>
        <v>-20572.419499267286</v>
      </c>
      <c r="H171" s="296">
        <f t="shared" si="35"/>
        <v>4283936.6895515714</v>
      </c>
      <c r="J171" s="292">
        <f t="shared" si="55"/>
        <v>10</v>
      </c>
      <c r="K171" s="293">
        <f t="shared" si="47"/>
        <v>119</v>
      </c>
      <c r="L171" s="294">
        <f t="shared" si="48"/>
        <v>3593</v>
      </c>
      <c r="M171" s="295">
        <f t="shared" si="43"/>
        <v>0</v>
      </c>
      <c r="N171" s="295" t="e">
        <f t="shared" si="44"/>
        <v>#NUM!</v>
      </c>
      <c r="O171" s="295">
        <f t="shared" si="36"/>
        <v>0</v>
      </c>
      <c r="P171" s="295">
        <f t="shared" si="37"/>
        <v>0</v>
      </c>
      <c r="Q171" s="296">
        <f t="shared" si="38"/>
        <v>0</v>
      </c>
      <c r="S171" s="292">
        <f t="shared" si="56"/>
        <v>10</v>
      </c>
      <c r="T171" s="293">
        <f t="shared" si="49"/>
        <v>119</v>
      </c>
      <c r="U171" s="294">
        <f t="shared" si="50"/>
        <v>3593</v>
      </c>
      <c r="V171" s="295">
        <f t="shared" si="51"/>
        <v>0</v>
      </c>
      <c r="W171" s="290" t="e">
        <f t="shared" si="52"/>
        <v>#NUM!</v>
      </c>
      <c r="X171" s="295">
        <f t="shared" si="39"/>
        <v>0</v>
      </c>
      <c r="Y171" s="295" t="e">
        <f t="shared" si="40"/>
        <v>#NUM!</v>
      </c>
      <c r="Z171" s="295">
        <f t="shared" si="53"/>
        <v>0</v>
      </c>
      <c r="AA171" s="296"/>
      <c r="AC171"/>
      <c r="AD171"/>
      <c r="AE171"/>
      <c r="AF171"/>
      <c r="AG171"/>
      <c r="AH171"/>
      <c r="AI171"/>
      <c r="AJ171"/>
    </row>
    <row r="172" spans="1:36" hidden="1">
      <c r="A172" s="287">
        <f t="shared" si="54"/>
        <v>10</v>
      </c>
      <c r="B172" s="288">
        <f t="shared" si="45"/>
        <v>120</v>
      </c>
      <c r="C172" s="289">
        <f t="shared" si="46"/>
        <v>49675</v>
      </c>
      <c r="D172" s="290">
        <f t="shared" si="41"/>
        <v>4283936.6895515714</v>
      </c>
      <c r="E172" s="290">
        <f t="shared" si="42"/>
        <v>-30010.234142609712</v>
      </c>
      <c r="F172" s="290">
        <f t="shared" si="33"/>
        <v>-9483.0375051751071</v>
      </c>
      <c r="G172" s="290">
        <f t="shared" si="34"/>
        <v>-20527.196637434605</v>
      </c>
      <c r="H172" s="291">
        <f t="shared" si="35"/>
        <v>4274453.6520463964</v>
      </c>
      <c r="J172" s="287">
        <f t="shared" si="55"/>
        <v>10</v>
      </c>
      <c r="K172" s="288">
        <f t="shared" si="47"/>
        <v>120</v>
      </c>
      <c r="L172" s="289">
        <f t="shared" si="48"/>
        <v>3623</v>
      </c>
      <c r="M172" s="290">
        <f t="shared" si="43"/>
        <v>0</v>
      </c>
      <c r="N172" s="290" t="e">
        <f t="shared" si="44"/>
        <v>#NUM!</v>
      </c>
      <c r="O172" s="290">
        <f t="shared" si="36"/>
        <v>0</v>
      </c>
      <c r="P172" s="290">
        <f t="shared" si="37"/>
        <v>0</v>
      </c>
      <c r="Q172" s="291">
        <f t="shared" si="38"/>
        <v>0</v>
      </c>
      <c r="S172" s="287">
        <f t="shared" si="56"/>
        <v>10</v>
      </c>
      <c r="T172" s="288">
        <f t="shared" si="49"/>
        <v>120</v>
      </c>
      <c r="U172" s="289">
        <f t="shared" si="50"/>
        <v>3623</v>
      </c>
      <c r="V172" s="290">
        <f t="shared" si="51"/>
        <v>0</v>
      </c>
      <c r="W172" s="290" t="e">
        <f t="shared" si="52"/>
        <v>#NUM!</v>
      </c>
      <c r="X172" s="290">
        <f t="shared" si="39"/>
        <v>0</v>
      </c>
      <c r="Y172" s="290" t="e">
        <f t="shared" si="40"/>
        <v>#NUM!</v>
      </c>
      <c r="Z172" s="290">
        <f t="shared" si="53"/>
        <v>0</v>
      </c>
      <c r="AA172" s="291"/>
      <c r="AC172"/>
      <c r="AD172"/>
      <c r="AE172"/>
      <c r="AF172"/>
      <c r="AG172"/>
      <c r="AH172"/>
      <c r="AI172"/>
      <c r="AJ172"/>
    </row>
    <row r="173" spans="1:36" hidden="1">
      <c r="A173" s="292">
        <f t="shared" si="54"/>
        <v>11</v>
      </c>
      <c r="B173" s="293">
        <f t="shared" si="45"/>
        <v>121</v>
      </c>
      <c r="C173" s="294">
        <f t="shared" si="46"/>
        <v>49706</v>
      </c>
      <c r="D173" s="295">
        <f t="shared" si="41"/>
        <v>4274453.6520463964</v>
      </c>
      <c r="E173" s="295">
        <f t="shared" si="42"/>
        <v>-30010.234142609712</v>
      </c>
      <c r="F173" s="295">
        <f t="shared" si="33"/>
        <v>-9528.4770598874056</v>
      </c>
      <c r="G173" s="295">
        <f t="shared" si="34"/>
        <v>-20481.757082722306</v>
      </c>
      <c r="H173" s="298">
        <f t="shared" si="35"/>
        <v>4264925.1749865087</v>
      </c>
      <c r="J173" s="292">
        <f t="shared" si="55"/>
        <v>11</v>
      </c>
      <c r="K173" s="293">
        <f t="shared" si="47"/>
        <v>121</v>
      </c>
      <c r="L173" s="294">
        <f t="shared" si="48"/>
        <v>3654</v>
      </c>
      <c r="M173" s="295">
        <f t="shared" si="43"/>
        <v>0</v>
      </c>
      <c r="N173" s="295" t="e">
        <f t="shared" si="44"/>
        <v>#NUM!</v>
      </c>
      <c r="O173" s="295">
        <f t="shared" si="36"/>
        <v>0</v>
      </c>
      <c r="P173" s="295">
        <f t="shared" si="37"/>
        <v>0</v>
      </c>
      <c r="Q173" s="298">
        <f t="shared" si="38"/>
        <v>0</v>
      </c>
      <c r="S173" s="292">
        <f t="shared" si="56"/>
        <v>11</v>
      </c>
      <c r="T173" s="293">
        <f t="shared" si="49"/>
        <v>121</v>
      </c>
      <c r="U173" s="294">
        <f t="shared" si="50"/>
        <v>3654</v>
      </c>
      <c r="V173" s="295">
        <f t="shared" si="51"/>
        <v>0</v>
      </c>
      <c r="W173" s="290" t="e">
        <f t="shared" si="52"/>
        <v>#NUM!</v>
      </c>
      <c r="X173" s="295">
        <f t="shared" si="39"/>
        <v>0</v>
      </c>
      <c r="Y173" s="295" t="e">
        <f t="shared" si="40"/>
        <v>#NUM!</v>
      </c>
      <c r="Z173" s="295">
        <f t="shared" si="53"/>
        <v>0</v>
      </c>
      <c r="AA173" s="298"/>
      <c r="AC173"/>
      <c r="AD173"/>
      <c r="AE173"/>
      <c r="AF173"/>
      <c r="AG173"/>
      <c r="AH173"/>
      <c r="AI173"/>
      <c r="AJ173"/>
    </row>
    <row r="174" spans="1:36" hidden="1">
      <c r="A174" s="287">
        <f t="shared" si="54"/>
        <v>11</v>
      </c>
      <c r="B174" s="288">
        <f t="shared" si="45"/>
        <v>122</v>
      </c>
      <c r="C174" s="289">
        <f t="shared" si="46"/>
        <v>49735</v>
      </c>
      <c r="D174" s="290">
        <f t="shared" si="41"/>
        <v>4264925.1749865087</v>
      </c>
      <c r="E174" s="290">
        <f t="shared" si="42"/>
        <v>-30010.234142609712</v>
      </c>
      <c r="F174" s="290">
        <f t="shared" si="33"/>
        <v>-9574.1343457993644</v>
      </c>
      <c r="G174" s="290">
        <f t="shared" si="34"/>
        <v>-20436.099796810347</v>
      </c>
      <c r="H174" s="291">
        <f t="shared" si="35"/>
        <v>4255351.040640709</v>
      </c>
      <c r="J174" s="287">
        <f t="shared" si="55"/>
        <v>11</v>
      </c>
      <c r="K174" s="288">
        <f t="shared" si="47"/>
        <v>122</v>
      </c>
      <c r="L174" s="289">
        <f t="shared" si="48"/>
        <v>3685</v>
      </c>
      <c r="M174" s="290">
        <f t="shared" si="43"/>
        <v>0</v>
      </c>
      <c r="N174" s="290" t="e">
        <f t="shared" si="44"/>
        <v>#NUM!</v>
      </c>
      <c r="O174" s="290">
        <f t="shared" si="36"/>
        <v>0</v>
      </c>
      <c r="P174" s="290">
        <f t="shared" si="37"/>
        <v>0</v>
      </c>
      <c r="Q174" s="291">
        <f t="shared" si="38"/>
        <v>0</v>
      </c>
      <c r="S174" s="287">
        <f t="shared" si="56"/>
        <v>11</v>
      </c>
      <c r="T174" s="288">
        <f t="shared" si="49"/>
        <v>122</v>
      </c>
      <c r="U174" s="289">
        <f t="shared" si="50"/>
        <v>3685</v>
      </c>
      <c r="V174" s="290">
        <f t="shared" si="51"/>
        <v>0</v>
      </c>
      <c r="W174" s="290" t="e">
        <f t="shared" si="52"/>
        <v>#NUM!</v>
      </c>
      <c r="X174" s="290">
        <f t="shared" si="39"/>
        <v>0</v>
      </c>
      <c r="Y174" s="290" t="e">
        <f t="shared" si="40"/>
        <v>#NUM!</v>
      </c>
      <c r="Z174" s="290">
        <f t="shared" si="53"/>
        <v>0</v>
      </c>
      <c r="AA174" s="291"/>
      <c r="AC174"/>
      <c r="AD174"/>
      <c r="AE174"/>
      <c r="AF174"/>
      <c r="AG174"/>
      <c r="AH174"/>
      <c r="AI174"/>
      <c r="AJ174"/>
    </row>
    <row r="175" spans="1:36" hidden="1">
      <c r="A175" s="292">
        <f t="shared" si="54"/>
        <v>11</v>
      </c>
      <c r="B175" s="293">
        <f t="shared" si="45"/>
        <v>123</v>
      </c>
      <c r="C175" s="294">
        <f t="shared" si="46"/>
        <v>49766</v>
      </c>
      <c r="D175" s="295">
        <f t="shared" si="41"/>
        <v>4255351.040640709</v>
      </c>
      <c r="E175" s="295">
        <f t="shared" si="42"/>
        <v>-30010.234142609712</v>
      </c>
      <c r="F175" s="295">
        <f t="shared" si="33"/>
        <v>-9620.0104062063219</v>
      </c>
      <c r="G175" s="295">
        <f t="shared" si="34"/>
        <v>-20390.22373640339</v>
      </c>
      <c r="H175" s="296">
        <f t="shared" si="35"/>
        <v>4245731.0302345026</v>
      </c>
      <c r="J175" s="292">
        <f t="shared" si="55"/>
        <v>11</v>
      </c>
      <c r="K175" s="293">
        <f t="shared" si="47"/>
        <v>123</v>
      </c>
      <c r="L175" s="294">
        <f t="shared" si="48"/>
        <v>3713</v>
      </c>
      <c r="M175" s="295">
        <f t="shared" si="43"/>
        <v>0</v>
      </c>
      <c r="N175" s="295" t="e">
        <f t="shared" si="44"/>
        <v>#NUM!</v>
      </c>
      <c r="O175" s="295">
        <f t="shared" si="36"/>
        <v>0</v>
      </c>
      <c r="P175" s="295">
        <f t="shared" si="37"/>
        <v>0</v>
      </c>
      <c r="Q175" s="296">
        <f t="shared" si="38"/>
        <v>0</v>
      </c>
      <c r="S175" s="292">
        <f t="shared" si="56"/>
        <v>11</v>
      </c>
      <c r="T175" s="293">
        <f t="shared" si="49"/>
        <v>123</v>
      </c>
      <c r="U175" s="294">
        <f t="shared" si="50"/>
        <v>3713</v>
      </c>
      <c r="V175" s="295">
        <f t="shared" si="51"/>
        <v>0</v>
      </c>
      <c r="W175" s="290" t="e">
        <f t="shared" si="52"/>
        <v>#NUM!</v>
      </c>
      <c r="X175" s="295">
        <f t="shared" si="39"/>
        <v>0</v>
      </c>
      <c r="Y175" s="295" t="e">
        <f t="shared" si="40"/>
        <v>#NUM!</v>
      </c>
      <c r="Z175" s="295">
        <f t="shared" si="53"/>
        <v>0</v>
      </c>
      <c r="AA175" s="296"/>
      <c r="AC175"/>
      <c r="AD175"/>
      <c r="AE175"/>
      <c r="AF175"/>
      <c r="AG175"/>
      <c r="AH175"/>
      <c r="AI175"/>
      <c r="AJ175"/>
    </row>
    <row r="176" spans="1:36" hidden="1">
      <c r="A176" s="287">
        <f t="shared" si="54"/>
        <v>11</v>
      </c>
      <c r="B176" s="288">
        <f t="shared" si="45"/>
        <v>124</v>
      </c>
      <c r="C176" s="289">
        <f t="shared" si="46"/>
        <v>49796</v>
      </c>
      <c r="D176" s="290">
        <f t="shared" si="41"/>
        <v>4245731.0302345026</v>
      </c>
      <c r="E176" s="290">
        <f t="shared" si="42"/>
        <v>-30010.234142609712</v>
      </c>
      <c r="F176" s="290">
        <f t="shared" si="33"/>
        <v>-9666.1062894027273</v>
      </c>
      <c r="G176" s="290">
        <f t="shared" si="34"/>
        <v>-20344.127853206985</v>
      </c>
      <c r="H176" s="291">
        <f t="shared" si="35"/>
        <v>4236064.9239451</v>
      </c>
      <c r="J176" s="287">
        <f t="shared" si="55"/>
        <v>11</v>
      </c>
      <c r="K176" s="288">
        <f t="shared" si="47"/>
        <v>124</v>
      </c>
      <c r="L176" s="289">
        <f t="shared" si="48"/>
        <v>3744</v>
      </c>
      <c r="M176" s="290">
        <f t="shared" si="43"/>
        <v>0</v>
      </c>
      <c r="N176" s="290" t="e">
        <f t="shared" si="44"/>
        <v>#NUM!</v>
      </c>
      <c r="O176" s="290">
        <f t="shared" si="36"/>
        <v>0</v>
      </c>
      <c r="P176" s="290">
        <f t="shared" si="37"/>
        <v>0</v>
      </c>
      <c r="Q176" s="291">
        <f t="shared" si="38"/>
        <v>0</v>
      </c>
      <c r="S176" s="287">
        <f t="shared" si="56"/>
        <v>11</v>
      </c>
      <c r="T176" s="288">
        <f t="shared" si="49"/>
        <v>124</v>
      </c>
      <c r="U176" s="289">
        <f t="shared" si="50"/>
        <v>3744</v>
      </c>
      <c r="V176" s="290">
        <f t="shared" si="51"/>
        <v>0</v>
      </c>
      <c r="W176" s="290" t="e">
        <f t="shared" si="52"/>
        <v>#NUM!</v>
      </c>
      <c r="X176" s="290">
        <f t="shared" si="39"/>
        <v>0</v>
      </c>
      <c r="Y176" s="290" t="e">
        <f t="shared" si="40"/>
        <v>#NUM!</v>
      </c>
      <c r="Z176" s="290">
        <f t="shared" si="53"/>
        <v>0</v>
      </c>
      <c r="AA176" s="291"/>
      <c r="AC176"/>
      <c r="AD176"/>
      <c r="AE176"/>
      <c r="AF176"/>
      <c r="AG176"/>
      <c r="AH176"/>
      <c r="AI176"/>
      <c r="AJ176"/>
    </row>
    <row r="177" spans="1:36" hidden="1">
      <c r="A177" s="292">
        <f t="shared" si="54"/>
        <v>11</v>
      </c>
      <c r="B177" s="293">
        <f t="shared" si="45"/>
        <v>125</v>
      </c>
      <c r="C177" s="294">
        <f t="shared" si="46"/>
        <v>49827</v>
      </c>
      <c r="D177" s="295">
        <f t="shared" si="41"/>
        <v>4236064.9239451</v>
      </c>
      <c r="E177" s="295">
        <f t="shared" si="42"/>
        <v>-30010.234142609712</v>
      </c>
      <c r="F177" s="295">
        <f t="shared" si="33"/>
        <v>-9712.4230487061159</v>
      </c>
      <c r="G177" s="295">
        <f t="shared" si="34"/>
        <v>-20297.811093903598</v>
      </c>
      <c r="H177" s="298">
        <f t="shared" si="35"/>
        <v>4226352.5008963943</v>
      </c>
      <c r="J177" s="292">
        <f t="shared" si="55"/>
        <v>11</v>
      </c>
      <c r="K177" s="293">
        <f t="shared" si="47"/>
        <v>125</v>
      </c>
      <c r="L177" s="294">
        <f t="shared" si="48"/>
        <v>3774</v>
      </c>
      <c r="M177" s="295">
        <f t="shared" si="43"/>
        <v>0</v>
      </c>
      <c r="N177" s="295" t="e">
        <f t="shared" si="44"/>
        <v>#NUM!</v>
      </c>
      <c r="O177" s="295">
        <f t="shared" si="36"/>
        <v>0</v>
      </c>
      <c r="P177" s="295">
        <f t="shared" si="37"/>
        <v>0</v>
      </c>
      <c r="Q177" s="298">
        <f t="shared" si="38"/>
        <v>0</v>
      </c>
      <c r="S177" s="292">
        <f t="shared" si="56"/>
        <v>11</v>
      </c>
      <c r="T177" s="293">
        <f t="shared" si="49"/>
        <v>125</v>
      </c>
      <c r="U177" s="294">
        <f t="shared" si="50"/>
        <v>3774</v>
      </c>
      <c r="V177" s="295">
        <f t="shared" si="51"/>
        <v>0</v>
      </c>
      <c r="W177" s="290" t="e">
        <f t="shared" si="52"/>
        <v>#NUM!</v>
      </c>
      <c r="X177" s="295">
        <f t="shared" si="39"/>
        <v>0</v>
      </c>
      <c r="Y177" s="295" t="e">
        <f t="shared" si="40"/>
        <v>#NUM!</v>
      </c>
      <c r="Z177" s="295">
        <f t="shared" si="53"/>
        <v>0</v>
      </c>
      <c r="AA177" s="298"/>
      <c r="AC177"/>
      <c r="AD177"/>
      <c r="AE177"/>
      <c r="AF177"/>
      <c r="AG177"/>
      <c r="AH177"/>
      <c r="AI177"/>
      <c r="AJ177"/>
    </row>
    <row r="178" spans="1:36" hidden="1">
      <c r="A178" s="287">
        <f t="shared" si="54"/>
        <v>11</v>
      </c>
      <c r="B178" s="288">
        <f t="shared" si="45"/>
        <v>126</v>
      </c>
      <c r="C178" s="289">
        <f t="shared" si="46"/>
        <v>49857</v>
      </c>
      <c r="D178" s="290">
        <f t="shared" si="41"/>
        <v>4226352.5008963943</v>
      </c>
      <c r="E178" s="290">
        <f t="shared" si="42"/>
        <v>-30010.234142609712</v>
      </c>
      <c r="F178" s="290">
        <f t="shared" si="33"/>
        <v>-9758.961742481164</v>
      </c>
      <c r="G178" s="290">
        <f t="shared" si="34"/>
        <v>-20251.27240012855</v>
      </c>
      <c r="H178" s="291">
        <f t="shared" si="35"/>
        <v>4216593.539153913</v>
      </c>
      <c r="J178" s="287">
        <f t="shared" si="55"/>
        <v>11</v>
      </c>
      <c r="K178" s="288">
        <f t="shared" si="47"/>
        <v>126</v>
      </c>
      <c r="L178" s="289">
        <f t="shared" si="48"/>
        <v>3805</v>
      </c>
      <c r="M178" s="290">
        <f t="shared" si="43"/>
        <v>0</v>
      </c>
      <c r="N178" s="290" t="e">
        <f t="shared" si="44"/>
        <v>#NUM!</v>
      </c>
      <c r="O178" s="290">
        <f t="shared" si="36"/>
        <v>0</v>
      </c>
      <c r="P178" s="290">
        <f t="shared" si="37"/>
        <v>0</v>
      </c>
      <c r="Q178" s="291">
        <f t="shared" si="38"/>
        <v>0</v>
      </c>
      <c r="S178" s="287">
        <f t="shared" si="56"/>
        <v>11</v>
      </c>
      <c r="T178" s="288">
        <f t="shared" si="49"/>
        <v>126</v>
      </c>
      <c r="U178" s="289">
        <f t="shared" si="50"/>
        <v>3805</v>
      </c>
      <c r="V178" s="290">
        <f t="shared" si="51"/>
        <v>0</v>
      </c>
      <c r="W178" s="290" t="e">
        <f t="shared" si="52"/>
        <v>#NUM!</v>
      </c>
      <c r="X178" s="290">
        <f t="shared" si="39"/>
        <v>0</v>
      </c>
      <c r="Y178" s="290" t="e">
        <f t="shared" si="40"/>
        <v>#NUM!</v>
      </c>
      <c r="Z178" s="290">
        <f t="shared" si="53"/>
        <v>0</v>
      </c>
      <c r="AA178" s="291"/>
      <c r="AC178"/>
      <c r="AD178"/>
      <c r="AE178"/>
      <c r="AF178"/>
      <c r="AG178"/>
      <c r="AH178"/>
      <c r="AI178"/>
      <c r="AJ178"/>
    </row>
    <row r="179" spans="1:36" hidden="1">
      <c r="A179" s="292">
        <f t="shared" si="54"/>
        <v>11</v>
      </c>
      <c r="B179" s="293">
        <f t="shared" si="45"/>
        <v>127</v>
      </c>
      <c r="C179" s="294">
        <f t="shared" si="46"/>
        <v>49888</v>
      </c>
      <c r="D179" s="295">
        <f t="shared" si="41"/>
        <v>4216593.539153913</v>
      </c>
      <c r="E179" s="295">
        <f t="shared" si="42"/>
        <v>-30010.234142609712</v>
      </c>
      <c r="F179" s="295">
        <f t="shared" si="33"/>
        <v>-9805.7234341638869</v>
      </c>
      <c r="G179" s="295">
        <f t="shared" si="34"/>
        <v>-20204.510708445825</v>
      </c>
      <c r="H179" s="296">
        <f t="shared" si="35"/>
        <v>4206787.8157197488</v>
      </c>
      <c r="J179" s="292">
        <f t="shared" si="55"/>
        <v>11</v>
      </c>
      <c r="K179" s="293">
        <f t="shared" si="47"/>
        <v>127</v>
      </c>
      <c r="L179" s="294">
        <f t="shared" si="48"/>
        <v>3835</v>
      </c>
      <c r="M179" s="295">
        <f t="shared" si="43"/>
        <v>0</v>
      </c>
      <c r="N179" s="295" t="e">
        <f t="shared" si="44"/>
        <v>#NUM!</v>
      </c>
      <c r="O179" s="295">
        <f t="shared" si="36"/>
        <v>0</v>
      </c>
      <c r="P179" s="295">
        <f t="shared" si="37"/>
        <v>0</v>
      </c>
      <c r="Q179" s="296">
        <f t="shared" si="38"/>
        <v>0</v>
      </c>
      <c r="S179" s="292">
        <f t="shared" si="56"/>
        <v>11</v>
      </c>
      <c r="T179" s="293">
        <f t="shared" si="49"/>
        <v>127</v>
      </c>
      <c r="U179" s="294">
        <f t="shared" si="50"/>
        <v>3835</v>
      </c>
      <c r="V179" s="295">
        <f t="shared" si="51"/>
        <v>0</v>
      </c>
      <c r="W179" s="290" t="e">
        <f t="shared" si="52"/>
        <v>#NUM!</v>
      </c>
      <c r="X179" s="295">
        <f t="shared" si="39"/>
        <v>0</v>
      </c>
      <c r="Y179" s="295" t="e">
        <f t="shared" si="40"/>
        <v>#NUM!</v>
      </c>
      <c r="Z179" s="295">
        <f t="shared" si="53"/>
        <v>0</v>
      </c>
      <c r="AA179" s="296"/>
      <c r="AC179"/>
      <c r="AD179"/>
      <c r="AE179"/>
      <c r="AF179"/>
      <c r="AG179"/>
      <c r="AH179"/>
      <c r="AI179"/>
      <c r="AJ179"/>
    </row>
    <row r="180" spans="1:36" hidden="1">
      <c r="A180" s="287">
        <f t="shared" si="54"/>
        <v>11</v>
      </c>
      <c r="B180" s="288">
        <f t="shared" si="45"/>
        <v>128</v>
      </c>
      <c r="C180" s="289">
        <f t="shared" si="46"/>
        <v>49919</v>
      </c>
      <c r="D180" s="290">
        <f t="shared" si="41"/>
        <v>4206787.8157197488</v>
      </c>
      <c r="E180" s="290">
        <f t="shared" si="42"/>
        <v>-30010.234142609712</v>
      </c>
      <c r="F180" s="290">
        <f t="shared" si="33"/>
        <v>-9852.7091922859236</v>
      </c>
      <c r="G180" s="290">
        <f t="shared" si="34"/>
        <v>-20157.52495032379</v>
      </c>
      <c r="H180" s="291">
        <f t="shared" si="35"/>
        <v>4196935.1065274626</v>
      </c>
      <c r="J180" s="287">
        <f t="shared" si="55"/>
        <v>11</v>
      </c>
      <c r="K180" s="288">
        <f t="shared" si="47"/>
        <v>128</v>
      </c>
      <c r="L180" s="289">
        <f t="shared" si="48"/>
        <v>3866</v>
      </c>
      <c r="M180" s="290">
        <f t="shared" si="43"/>
        <v>0</v>
      </c>
      <c r="N180" s="290" t="e">
        <f t="shared" si="44"/>
        <v>#NUM!</v>
      </c>
      <c r="O180" s="290">
        <f t="shared" si="36"/>
        <v>0</v>
      </c>
      <c r="P180" s="290">
        <f t="shared" si="37"/>
        <v>0</v>
      </c>
      <c r="Q180" s="291">
        <f t="shared" si="38"/>
        <v>0</v>
      </c>
      <c r="S180" s="287">
        <f t="shared" si="56"/>
        <v>11</v>
      </c>
      <c r="T180" s="288">
        <f t="shared" si="49"/>
        <v>128</v>
      </c>
      <c r="U180" s="289">
        <f t="shared" si="50"/>
        <v>3866</v>
      </c>
      <c r="V180" s="290">
        <f t="shared" si="51"/>
        <v>0</v>
      </c>
      <c r="W180" s="290" t="e">
        <f t="shared" si="52"/>
        <v>#NUM!</v>
      </c>
      <c r="X180" s="290">
        <f t="shared" si="39"/>
        <v>0</v>
      </c>
      <c r="Y180" s="290" t="e">
        <f t="shared" si="40"/>
        <v>#NUM!</v>
      </c>
      <c r="Z180" s="290">
        <f t="shared" si="53"/>
        <v>0</v>
      </c>
      <c r="AA180" s="291"/>
      <c r="AC180"/>
      <c r="AD180"/>
      <c r="AE180"/>
      <c r="AF180"/>
      <c r="AG180"/>
      <c r="AH180"/>
      <c r="AI180"/>
      <c r="AJ180"/>
    </row>
    <row r="181" spans="1:36" hidden="1">
      <c r="A181" s="292">
        <f t="shared" si="54"/>
        <v>11</v>
      </c>
      <c r="B181" s="293">
        <f t="shared" si="45"/>
        <v>129</v>
      </c>
      <c r="C181" s="294">
        <f t="shared" si="46"/>
        <v>49949</v>
      </c>
      <c r="D181" s="295">
        <f t="shared" si="41"/>
        <v>4196935.1065274626</v>
      </c>
      <c r="E181" s="295">
        <f t="shared" si="42"/>
        <v>-30010.234142609712</v>
      </c>
      <c r="F181" s="295">
        <f t="shared" ref="F181:F244" si="57">IF(AND(SwitchRefi="Yes",OR(C181=0,C181&gt;=$I$10)),0,IFERROR(PPMT(IF(SwitchCompound="Monthly",$E$13/12,($E$13/2+1)^(2/12)-1),B181,$E$17*12,$D$53),0))</f>
        <v>-9899.9200904989575</v>
      </c>
      <c r="G181" s="295">
        <f t="shared" ref="G181:G244" si="58">IF(AND(SwitchRefi="Yes",OR(C181=0,C181&gt;=$I$10)),0,IFERROR(IPMT(IF(SwitchCompound="Monthly",$E$13/12,($E$13/2+1)^(2/12)-1),IF(B181=0,1,B181),$E$17*12,$D$53),0))</f>
        <v>-20110.314052110753</v>
      </c>
      <c r="H181" s="298">
        <f t="shared" ref="H181:H244" si="59">IF(AND(SwitchRefi="Yes",C181&gt;=$I$10),0,D181+F181)</f>
        <v>4187035.1864369637</v>
      </c>
      <c r="J181" s="292">
        <f t="shared" si="55"/>
        <v>11</v>
      </c>
      <c r="K181" s="293">
        <f t="shared" si="47"/>
        <v>129</v>
      </c>
      <c r="L181" s="294">
        <f t="shared" si="48"/>
        <v>3897</v>
      </c>
      <c r="M181" s="295">
        <f t="shared" si="43"/>
        <v>0</v>
      </c>
      <c r="N181" s="295" t="e">
        <f t="shared" si="44"/>
        <v>#NUM!</v>
      </c>
      <c r="O181" s="295">
        <f t="shared" ref="O181:O244" si="60">IF(AND(SwitchRefi="Yes",OR(L181=0,L181&gt;=$I$10)),0,IFERROR(PPMT(IF(SwitchCompound="Monthly",$G$13/12,($G$13/2+1)^(2/12)-1),K181,$G$17*12,$M$53),0))</f>
        <v>0</v>
      </c>
      <c r="P181" s="295">
        <f t="shared" ref="P181:P244" si="61">IF(AND(SwitchRefi="Yes",OR(L181=0,L181&gt;=$I$10)),0,IFERROR(IPMT(IF(SwitchCompound="Monthly",$G$13/12,($G$13/2+1)^(2/12)-1),IF(K181=0,1,K181),$G$17*12,$M$53),0))</f>
        <v>0</v>
      </c>
      <c r="Q181" s="298">
        <f t="shared" ref="Q181:Q244" si="62">IF(AND(SwitchRefi="Yes",L181&gt;=$I$10),0,M181+O181)</f>
        <v>0</v>
      </c>
      <c r="S181" s="292">
        <f t="shared" si="56"/>
        <v>11</v>
      </c>
      <c r="T181" s="293">
        <f t="shared" si="49"/>
        <v>129</v>
      </c>
      <c r="U181" s="294">
        <f t="shared" si="50"/>
        <v>3897</v>
      </c>
      <c r="V181" s="295">
        <f t="shared" si="51"/>
        <v>0</v>
      </c>
      <c r="W181" s="290" t="e">
        <f t="shared" si="52"/>
        <v>#NUM!</v>
      </c>
      <c r="X181" s="295">
        <f t="shared" ref="X181:X244" si="63">IFERROR(PPMT(IF(SwitchCompound="Monthly",$I$13/12,($I$13/2+1)^(2/12)-1),T181,$I$17*12,$V$53),0)</f>
        <v>0</v>
      </c>
      <c r="Y181" s="295" t="e">
        <f t="shared" ref="Y181:Y244" si="64">IPMT(IF(SwitchCompound="Monthly",$I$13/12,($I$13/2+1)^(2/12)-1),IF(T181=0,1,T181),$I$17*12,$V$53)</f>
        <v>#NUM!</v>
      </c>
      <c r="Z181" s="295">
        <f t="shared" si="53"/>
        <v>0</v>
      </c>
      <c r="AA181" s="298"/>
      <c r="AC181"/>
      <c r="AD181"/>
      <c r="AE181"/>
      <c r="AF181"/>
      <c r="AG181"/>
      <c r="AH181"/>
      <c r="AI181"/>
      <c r="AJ181"/>
    </row>
    <row r="182" spans="1:36" hidden="1">
      <c r="A182" s="287">
        <f t="shared" si="54"/>
        <v>11</v>
      </c>
      <c r="B182" s="288">
        <f t="shared" si="45"/>
        <v>130</v>
      </c>
      <c r="C182" s="289">
        <f t="shared" si="46"/>
        <v>49980</v>
      </c>
      <c r="D182" s="290">
        <f t="shared" ref="D182:D245" si="65">IF(AND(SwitchRefi="Yes",C182&gt;=$I$10),0,H181)</f>
        <v>4187035.1864369637</v>
      </c>
      <c r="E182" s="290">
        <f t="shared" ref="E182:E245" si="66">IF(AND(SwitchRefi="Yes",OR(C182=0,C182&gt;=$I$10)),0,$E$53)</f>
        <v>-30010.234142609712</v>
      </c>
      <c r="F182" s="290">
        <f t="shared" si="57"/>
        <v>-9947.357207599267</v>
      </c>
      <c r="G182" s="290">
        <f t="shared" si="58"/>
        <v>-20062.876935010445</v>
      </c>
      <c r="H182" s="291">
        <f t="shared" si="59"/>
        <v>4177087.8292293646</v>
      </c>
      <c r="J182" s="287">
        <f t="shared" si="55"/>
        <v>11</v>
      </c>
      <c r="K182" s="288">
        <f t="shared" si="47"/>
        <v>130</v>
      </c>
      <c r="L182" s="289">
        <f t="shared" si="48"/>
        <v>3927</v>
      </c>
      <c r="M182" s="290">
        <f t="shared" ref="M182:M245" si="67">IF(AND(SwitchRefi="Yes",L182&gt;=$I$10),0,Q181)</f>
        <v>0</v>
      </c>
      <c r="N182" s="290" t="e">
        <f t="shared" ref="N182:N245" si="68">IF(AND(SwitchRefi="Yes",OR(L182=0,L182&gt;=$I$10)),0,$N$53)</f>
        <v>#NUM!</v>
      </c>
      <c r="O182" s="290">
        <f t="shared" si="60"/>
        <v>0</v>
      </c>
      <c r="P182" s="290">
        <f t="shared" si="61"/>
        <v>0</v>
      </c>
      <c r="Q182" s="291">
        <f t="shared" si="62"/>
        <v>0</v>
      </c>
      <c r="S182" s="287">
        <f t="shared" si="56"/>
        <v>11</v>
      </c>
      <c r="T182" s="288">
        <f t="shared" si="49"/>
        <v>130</v>
      </c>
      <c r="U182" s="289">
        <f t="shared" si="50"/>
        <v>3927</v>
      </c>
      <c r="V182" s="290">
        <f t="shared" si="51"/>
        <v>0</v>
      </c>
      <c r="W182" s="290" t="e">
        <f t="shared" si="52"/>
        <v>#NUM!</v>
      </c>
      <c r="X182" s="290">
        <f t="shared" si="63"/>
        <v>0</v>
      </c>
      <c r="Y182" s="290" t="e">
        <f t="shared" si="64"/>
        <v>#NUM!</v>
      </c>
      <c r="Z182" s="290">
        <f t="shared" si="53"/>
        <v>0</v>
      </c>
      <c r="AA182" s="291"/>
      <c r="AC182"/>
      <c r="AD182"/>
      <c r="AE182"/>
      <c r="AF182"/>
      <c r="AG182"/>
      <c r="AH182"/>
      <c r="AI182"/>
      <c r="AJ182"/>
    </row>
    <row r="183" spans="1:36" hidden="1">
      <c r="A183" s="292">
        <f t="shared" si="54"/>
        <v>11</v>
      </c>
      <c r="B183" s="293">
        <f t="shared" ref="B183:B246" si="69">IF(B182=0,IF(C183&lt;$C$413,0,B182+1),IF(C182&gt;=$C$413,B182+1,0))</f>
        <v>131</v>
      </c>
      <c r="C183" s="294">
        <f t="shared" ref="C183:C246" si="70">EDATE(C182,1)</f>
        <v>50010</v>
      </c>
      <c r="D183" s="295">
        <f t="shared" si="65"/>
        <v>4177087.8292293646</v>
      </c>
      <c r="E183" s="295">
        <f t="shared" si="66"/>
        <v>-30010.234142609712</v>
      </c>
      <c r="F183" s="295">
        <f t="shared" si="57"/>
        <v>-9995.0216275523471</v>
      </c>
      <c r="G183" s="295">
        <f t="shared" si="58"/>
        <v>-20015.212515057367</v>
      </c>
      <c r="H183" s="296">
        <f t="shared" si="59"/>
        <v>4167092.8076018123</v>
      </c>
      <c r="J183" s="292">
        <f t="shared" si="55"/>
        <v>11</v>
      </c>
      <c r="K183" s="293">
        <f t="shared" ref="K183:K246" si="71">IF(K182=0,IF(L183&lt;$L$413,0,K182+1),IF(L182&gt;=$L$413,K182+1,0))</f>
        <v>131</v>
      </c>
      <c r="L183" s="294">
        <f t="shared" ref="L183:L246" si="72">EDATE(L182,1)</f>
        <v>3958</v>
      </c>
      <c r="M183" s="295">
        <f t="shared" si="67"/>
        <v>0</v>
      </c>
      <c r="N183" s="295" t="e">
        <f t="shared" si="68"/>
        <v>#NUM!</v>
      </c>
      <c r="O183" s="295">
        <f t="shared" si="60"/>
        <v>0</v>
      </c>
      <c r="P183" s="295">
        <f t="shared" si="61"/>
        <v>0</v>
      </c>
      <c r="Q183" s="296">
        <f t="shared" si="62"/>
        <v>0</v>
      </c>
      <c r="S183" s="292">
        <f t="shared" si="56"/>
        <v>11</v>
      </c>
      <c r="T183" s="293">
        <f t="shared" ref="T183:T246" si="73">IF(T182=0,IF(U183&lt;$V$413,0,T182+1),IF(U182&gt;=$V$413,T182+1,0))</f>
        <v>131</v>
      </c>
      <c r="U183" s="294">
        <f t="shared" ref="U183:U246" si="74">EDATE(U182,1)</f>
        <v>3958</v>
      </c>
      <c r="V183" s="295">
        <f t="shared" ref="V183:V246" si="75">Z182</f>
        <v>0</v>
      </c>
      <c r="W183" s="290" t="e">
        <f t="shared" ref="W183:W246" si="76">$W$53</f>
        <v>#NUM!</v>
      </c>
      <c r="X183" s="295">
        <f t="shared" si="63"/>
        <v>0</v>
      </c>
      <c r="Y183" s="295" t="e">
        <f t="shared" si="64"/>
        <v>#NUM!</v>
      </c>
      <c r="Z183" s="295">
        <f t="shared" si="53"/>
        <v>0</v>
      </c>
      <c r="AA183" s="296"/>
      <c r="AC183"/>
      <c r="AD183"/>
      <c r="AE183"/>
      <c r="AF183"/>
      <c r="AG183"/>
      <c r="AH183"/>
      <c r="AI183"/>
      <c r="AJ183"/>
    </row>
    <row r="184" spans="1:36" hidden="1">
      <c r="A184" s="287">
        <f t="shared" si="54"/>
        <v>11</v>
      </c>
      <c r="B184" s="288">
        <f t="shared" si="69"/>
        <v>132</v>
      </c>
      <c r="C184" s="289">
        <f t="shared" si="70"/>
        <v>50041</v>
      </c>
      <c r="D184" s="290">
        <f t="shared" si="65"/>
        <v>4167092.8076018123</v>
      </c>
      <c r="E184" s="290">
        <f t="shared" si="66"/>
        <v>-30010.234142609712</v>
      </c>
      <c r="F184" s="290">
        <f t="shared" si="57"/>
        <v>-10042.914439517701</v>
      </c>
      <c r="G184" s="290">
        <f t="shared" si="58"/>
        <v>-19967.319703092013</v>
      </c>
      <c r="H184" s="291">
        <f t="shared" si="59"/>
        <v>4157049.8931622948</v>
      </c>
      <c r="J184" s="287">
        <f t="shared" si="55"/>
        <v>11</v>
      </c>
      <c r="K184" s="288">
        <f t="shared" si="71"/>
        <v>132</v>
      </c>
      <c r="L184" s="289">
        <f t="shared" si="72"/>
        <v>3988</v>
      </c>
      <c r="M184" s="290">
        <f t="shared" si="67"/>
        <v>0</v>
      </c>
      <c r="N184" s="290" t="e">
        <f t="shared" si="68"/>
        <v>#NUM!</v>
      </c>
      <c r="O184" s="290">
        <f t="shared" si="60"/>
        <v>0</v>
      </c>
      <c r="P184" s="290">
        <f t="shared" si="61"/>
        <v>0</v>
      </c>
      <c r="Q184" s="291">
        <f t="shared" si="62"/>
        <v>0</v>
      </c>
      <c r="S184" s="287">
        <f t="shared" si="56"/>
        <v>11</v>
      </c>
      <c r="T184" s="288">
        <f t="shared" si="73"/>
        <v>132</v>
      </c>
      <c r="U184" s="289">
        <f t="shared" si="74"/>
        <v>3988</v>
      </c>
      <c r="V184" s="290">
        <f t="shared" si="75"/>
        <v>0</v>
      </c>
      <c r="W184" s="290" t="e">
        <f t="shared" si="76"/>
        <v>#NUM!</v>
      </c>
      <c r="X184" s="290">
        <f t="shared" si="63"/>
        <v>0</v>
      </c>
      <c r="Y184" s="290" t="e">
        <f t="shared" si="64"/>
        <v>#NUM!</v>
      </c>
      <c r="Z184" s="290">
        <f t="shared" si="53"/>
        <v>0</v>
      </c>
      <c r="AA184" s="291"/>
      <c r="AC184"/>
      <c r="AD184"/>
      <c r="AE184"/>
      <c r="AF184"/>
      <c r="AG184"/>
      <c r="AH184"/>
      <c r="AI184"/>
      <c r="AJ184"/>
    </row>
    <row r="185" spans="1:36" hidden="1">
      <c r="A185" s="292">
        <f t="shared" si="54"/>
        <v>12</v>
      </c>
      <c r="B185" s="293">
        <f t="shared" si="69"/>
        <v>133</v>
      </c>
      <c r="C185" s="294">
        <f t="shared" si="70"/>
        <v>50072</v>
      </c>
      <c r="D185" s="295">
        <f t="shared" si="65"/>
        <v>4157049.8931622948</v>
      </c>
      <c r="E185" s="295">
        <f t="shared" si="66"/>
        <v>-30010.234142609712</v>
      </c>
      <c r="F185" s="295">
        <f t="shared" si="57"/>
        <v>-10091.036737873725</v>
      </c>
      <c r="G185" s="295">
        <f t="shared" si="58"/>
        <v>-19919.197404735987</v>
      </c>
      <c r="H185" s="298">
        <f t="shared" si="59"/>
        <v>4146958.8564244211</v>
      </c>
      <c r="J185" s="292">
        <f t="shared" si="55"/>
        <v>12</v>
      </c>
      <c r="K185" s="293">
        <f t="shared" si="71"/>
        <v>133</v>
      </c>
      <c r="L185" s="294">
        <f t="shared" si="72"/>
        <v>4019</v>
      </c>
      <c r="M185" s="295">
        <f t="shared" si="67"/>
        <v>0</v>
      </c>
      <c r="N185" s="295" t="e">
        <f t="shared" si="68"/>
        <v>#NUM!</v>
      </c>
      <c r="O185" s="295">
        <f t="shared" si="60"/>
        <v>0</v>
      </c>
      <c r="P185" s="295">
        <f t="shared" si="61"/>
        <v>0</v>
      </c>
      <c r="Q185" s="298">
        <f t="shared" si="62"/>
        <v>0</v>
      </c>
      <c r="S185" s="292">
        <f t="shared" si="56"/>
        <v>12</v>
      </c>
      <c r="T185" s="293">
        <f t="shared" si="73"/>
        <v>133</v>
      </c>
      <c r="U185" s="294">
        <f t="shared" si="74"/>
        <v>4019</v>
      </c>
      <c r="V185" s="295">
        <f t="shared" si="75"/>
        <v>0</v>
      </c>
      <c r="W185" s="290" t="e">
        <f t="shared" si="76"/>
        <v>#NUM!</v>
      </c>
      <c r="X185" s="295">
        <f t="shared" si="63"/>
        <v>0</v>
      </c>
      <c r="Y185" s="295" t="e">
        <f t="shared" si="64"/>
        <v>#NUM!</v>
      </c>
      <c r="Z185" s="295">
        <f t="shared" si="53"/>
        <v>0</v>
      </c>
      <c r="AA185" s="298"/>
      <c r="AC185"/>
      <c r="AD185"/>
      <c r="AE185"/>
      <c r="AF185"/>
      <c r="AG185"/>
      <c r="AH185"/>
      <c r="AI185"/>
      <c r="AJ185"/>
    </row>
    <row r="186" spans="1:36" hidden="1">
      <c r="A186" s="287">
        <f t="shared" si="54"/>
        <v>12</v>
      </c>
      <c r="B186" s="288">
        <f t="shared" si="69"/>
        <v>134</v>
      </c>
      <c r="C186" s="289">
        <f t="shared" si="70"/>
        <v>50100</v>
      </c>
      <c r="D186" s="290">
        <f t="shared" si="65"/>
        <v>4146958.8564244211</v>
      </c>
      <c r="E186" s="290">
        <f t="shared" si="66"/>
        <v>-30010.234142609712</v>
      </c>
      <c r="F186" s="290">
        <f t="shared" si="57"/>
        <v>-10139.389622242703</v>
      </c>
      <c r="G186" s="290">
        <f t="shared" si="58"/>
        <v>-19870.844520367013</v>
      </c>
      <c r="H186" s="291">
        <f t="shared" si="59"/>
        <v>4136819.4668021784</v>
      </c>
      <c r="J186" s="287">
        <f t="shared" si="55"/>
        <v>12</v>
      </c>
      <c r="K186" s="288">
        <f t="shared" si="71"/>
        <v>134</v>
      </c>
      <c r="L186" s="289">
        <f t="shared" si="72"/>
        <v>4050</v>
      </c>
      <c r="M186" s="290">
        <f t="shared" si="67"/>
        <v>0</v>
      </c>
      <c r="N186" s="290" t="e">
        <f t="shared" si="68"/>
        <v>#NUM!</v>
      </c>
      <c r="O186" s="290">
        <f t="shared" si="60"/>
        <v>0</v>
      </c>
      <c r="P186" s="290">
        <f t="shared" si="61"/>
        <v>0</v>
      </c>
      <c r="Q186" s="291">
        <f t="shared" si="62"/>
        <v>0</v>
      </c>
      <c r="S186" s="287">
        <f t="shared" si="56"/>
        <v>12</v>
      </c>
      <c r="T186" s="288">
        <f t="shared" si="73"/>
        <v>134</v>
      </c>
      <c r="U186" s="289">
        <f t="shared" si="74"/>
        <v>4050</v>
      </c>
      <c r="V186" s="290">
        <f t="shared" si="75"/>
        <v>0</v>
      </c>
      <c r="W186" s="290" t="e">
        <f t="shared" si="76"/>
        <v>#NUM!</v>
      </c>
      <c r="X186" s="290">
        <f t="shared" si="63"/>
        <v>0</v>
      </c>
      <c r="Y186" s="290" t="e">
        <f t="shared" si="64"/>
        <v>#NUM!</v>
      </c>
      <c r="Z186" s="290">
        <f t="shared" si="53"/>
        <v>0</v>
      </c>
      <c r="AA186" s="291"/>
      <c r="AC186"/>
      <c r="AD186"/>
      <c r="AE186"/>
      <c r="AF186"/>
      <c r="AG186"/>
      <c r="AH186"/>
      <c r="AI186"/>
      <c r="AJ186"/>
    </row>
    <row r="187" spans="1:36" hidden="1">
      <c r="A187" s="292">
        <f t="shared" si="54"/>
        <v>12</v>
      </c>
      <c r="B187" s="293">
        <f t="shared" si="69"/>
        <v>135</v>
      </c>
      <c r="C187" s="294">
        <f t="shared" si="70"/>
        <v>50131</v>
      </c>
      <c r="D187" s="295">
        <f t="shared" si="65"/>
        <v>4136819.4668021784</v>
      </c>
      <c r="E187" s="295">
        <f t="shared" si="66"/>
        <v>-30010.234142609712</v>
      </c>
      <c r="F187" s="295">
        <f t="shared" si="57"/>
        <v>-10187.974197515949</v>
      </c>
      <c r="G187" s="295">
        <f t="shared" si="58"/>
        <v>-19822.259945093763</v>
      </c>
      <c r="H187" s="296">
        <f t="shared" si="59"/>
        <v>4126631.4926046627</v>
      </c>
      <c r="J187" s="292">
        <f t="shared" si="55"/>
        <v>12</v>
      </c>
      <c r="K187" s="293">
        <f t="shared" si="71"/>
        <v>135</v>
      </c>
      <c r="L187" s="294">
        <f t="shared" si="72"/>
        <v>4078</v>
      </c>
      <c r="M187" s="295">
        <f t="shared" si="67"/>
        <v>0</v>
      </c>
      <c r="N187" s="295" t="e">
        <f t="shared" si="68"/>
        <v>#NUM!</v>
      </c>
      <c r="O187" s="295">
        <f t="shared" si="60"/>
        <v>0</v>
      </c>
      <c r="P187" s="295">
        <f t="shared" si="61"/>
        <v>0</v>
      </c>
      <c r="Q187" s="296">
        <f t="shared" si="62"/>
        <v>0</v>
      </c>
      <c r="S187" s="292">
        <f t="shared" si="56"/>
        <v>12</v>
      </c>
      <c r="T187" s="293">
        <f t="shared" si="73"/>
        <v>135</v>
      </c>
      <c r="U187" s="294">
        <f t="shared" si="74"/>
        <v>4078</v>
      </c>
      <c r="V187" s="295">
        <f t="shared" si="75"/>
        <v>0</v>
      </c>
      <c r="W187" s="290" t="e">
        <f t="shared" si="76"/>
        <v>#NUM!</v>
      </c>
      <c r="X187" s="295">
        <f t="shared" si="63"/>
        <v>0</v>
      </c>
      <c r="Y187" s="295" t="e">
        <f t="shared" si="64"/>
        <v>#NUM!</v>
      </c>
      <c r="Z187" s="295">
        <f t="shared" ref="Z187:Z250" si="77">V187+X187</f>
        <v>0</v>
      </c>
      <c r="AA187" s="296"/>
      <c r="AC187"/>
      <c r="AD187"/>
      <c r="AE187"/>
      <c r="AF187"/>
      <c r="AG187"/>
      <c r="AH187"/>
      <c r="AI187"/>
      <c r="AJ187"/>
    </row>
    <row r="188" spans="1:36" hidden="1">
      <c r="A188" s="287">
        <f t="shared" si="54"/>
        <v>12</v>
      </c>
      <c r="B188" s="288">
        <f t="shared" si="69"/>
        <v>136</v>
      </c>
      <c r="C188" s="289">
        <f t="shared" si="70"/>
        <v>50161</v>
      </c>
      <c r="D188" s="290">
        <f t="shared" si="65"/>
        <v>4126631.4926046627</v>
      </c>
      <c r="E188" s="290">
        <f t="shared" si="66"/>
        <v>-30010.234142609712</v>
      </c>
      <c r="F188" s="290">
        <f t="shared" si="57"/>
        <v>-10236.791573879045</v>
      </c>
      <c r="G188" s="290">
        <f t="shared" si="58"/>
        <v>-19773.442568730665</v>
      </c>
      <c r="H188" s="291">
        <f t="shared" si="59"/>
        <v>4116394.7010307838</v>
      </c>
      <c r="J188" s="287">
        <f t="shared" si="55"/>
        <v>12</v>
      </c>
      <c r="K188" s="288">
        <f t="shared" si="71"/>
        <v>136</v>
      </c>
      <c r="L188" s="289">
        <f t="shared" si="72"/>
        <v>4109</v>
      </c>
      <c r="M188" s="290">
        <f t="shared" si="67"/>
        <v>0</v>
      </c>
      <c r="N188" s="290" t="e">
        <f t="shared" si="68"/>
        <v>#NUM!</v>
      </c>
      <c r="O188" s="290">
        <f t="shared" si="60"/>
        <v>0</v>
      </c>
      <c r="P188" s="290">
        <f t="shared" si="61"/>
        <v>0</v>
      </c>
      <c r="Q188" s="291">
        <f t="shared" si="62"/>
        <v>0</v>
      </c>
      <c r="S188" s="287">
        <f t="shared" si="56"/>
        <v>12</v>
      </c>
      <c r="T188" s="288">
        <f t="shared" si="73"/>
        <v>136</v>
      </c>
      <c r="U188" s="289">
        <f t="shared" si="74"/>
        <v>4109</v>
      </c>
      <c r="V188" s="290">
        <f t="shared" si="75"/>
        <v>0</v>
      </c>
      <c r="W188" s="290" t="e">
        <f t="shared" si="76"/>
        <v>#NUM!</v>
      </c>
      <c r="X188" s="290">
        <f t="shared" si="63"/>
        <v>0</v>
      </c>
      <c r="Y188" s="290" t="e">
        <f t="shared" si="64"/>
        <v>#NUM!</v>
      </c>
      <c r="Z188" s="290">
        <f t="shared" si="77"/>
        <v>0</v>
      </c>
      <c r="AA188" s="291"/>
      <c r="AC188"/>
      <c r="AD188"/>
      <c r="AE188"/>
      <c r="AF188"/>
      <c r="AG188"/>
      <c r="AH188"/>
      <c r="AI188"/>
      <c r="AJ188"/>
    </row>
    <row r="189" spans="1:36" hidden="1">
      <c r="A189" s="292">
        <f t="shared" si="54"/>
        <v>12</v>
      </c>
      <c r="B189" s="293">
        <f t="shared" si="69"/>
        <v>137</v>
      </c>
      <c r="C189" s="294">
        <f t="shared" si="70"/>
        <v>50192</v>
      </c>
      <c r="D189" s="295">
        <f t="shared" si="65"/>
        <v>4116394.7010307838</v>
      </c>
      <c r="E189" s="295">
        <f t="shared" si="66"/>
        <v>-30010.234142609712</v>
      </c>
      <c r="F189" s="295">
        <f t="shared" si="57"/>
        <v>-10285.842866837216</v>
      </c>
      <c r="G189" s="295">
        <f t="shared" si="58"/>
        <v>-19724.391275772497</v>
      </c>
      <c r="H189" s="298">
        <f t="shared" si="59"/>
        <v>4106108.8581639468</v>
      </c>
      <c r="J189" s="292">
        <f t="shared" si="55"/>
        <v>12</v>
      </c>
      <c r="K189" s="293">
        <f t="shared" si="71"/>
        <v>137</v>
      </c>
      <c r="L189" s="294">
        <f t="shared" si="72"/>
        <v>4139</v>
      </c>
      <c r="M189" s="295">
        <f t="shared" si="67"/>
        <v>0</v>
      </c>
      <c r="N189" s="295" t="e">
        <f t="shared" si="68"/>
        <v>#NUM!</v>
      </c>
      <c r="O189" s="295">
        <f t="shared" si="60"/>
        <v>0</v>
      </c>
      <c r="P189" s="295">
        <f t="shared" si="61"/>
        <v>0</v>
      </c>
      <c r="Q189" s="298">
        <f t="shared" si="62"/>
        <v>0</v>
      </c>
      <c r="S189" s="292">
        <f t="shared" si="56"/>
        <v>12</v>
      </c>
      <c r="T189" s="293">
        <f t="shared" si="73"/>
        <v>137</v>
      </c>
      <c r="U189" s="294">
        <f t="shared" si="74"/>
        <v>4139</v>
      </c>
      <c r="V189" s="295">
        <f t="shared" si="75"/>
        <v>0</v>
      </c>
      <c r="W189" s="290" t="e">
        <f t="shared" si="76"/>
        <v>#NUM!</v>
      </c>
      <c r="X189" s="295">
        <f t="shared" si="63"/>
        <v>0</v>
      </c>
      <c r="Y189" s="295" t="e">
        <f t="shared" si="64"/>
        <v>#NUM!</v>
      </c>
      <c r="Z189" s="295">
        <f t="shared" si="77"/>
        <v>0</v>
      </c>
      <c r="AA189" s="298"/>
      <c r="AC189"/>
      <c r="AD189"/>
      <c r="AE189"/>
      <c r="AF189"/>
      <c r="AG189"/>
      <c r="AH189"/>
      <c r="AI189"/>
      <c r="AJ189"/>
    </row>
    <row r="190" spans="1:36" hidden="1">
      <c r="A190" s="287">
        <f t="shared" si="54"/>
        <v>12</v>
      </c>
      <c r="B190" s="288">
        <f t="shared" si="69"/>
        <v>138</v>
      </c>
      <c r="C190" s="289">
        <f t="shared" si="70"/>
        <v>50222</v>
      </c>
      <c r="D190" s="290">
        <f t="shared" si="65"/>
        <v>4106108.8581639468</v>
      </c>
      <c r="E190" s="290">
        <f t="shared" si="66"/>
        <v>-30010.234142609712</v>
      </c>
      <c r="F190" s="290">
        <f t="shared" si="57"/>
        <v>-10335.129197240811</v>
      </c>
      <c r="G190" s="290">
        <f t="shared" si="58"/>
        <v>-19675.104945368901</v>
      </c>
      <c r="H190" s="291">
        <f t="shared" si="59"/>
        <v>4095773.728966706</v>
      </c>
      <c r="J190" s="287">
        <f t="shared" si="55"/>
        <v>12</v>
      </c>
      <c r="K190" s="288">
        <f t="shared" si="71"/>
        <v>138</v>
      </c>
      <c r="L190" s="289">
        <f t="shared" si="72"/>
        <v>4170</v>
      </c>
      <c r="M190" s="290">
        <f t="shared" si="67"/>
        <v>0</v>
      </c>
      <c r="N190" s="290" t="e">
        <f t="shared" si="68"/>
        <v>#NUM!</v>
      </c>
      <c r="O190" s="290">
        <f t="shared" si="60"/>
        <v>0</v>
      </c>
      <c r="P190" s="290">
        <f t="shared" si="61"/>
        <v>0</v>
      </c>
      <c r="Q190" s="291">
        <f t="shared" si="62"/>
        <v>0</v>
      </c>
      <c r="S190" s="287">
        <f t="shared" si="56"/>
        <v>12</v>
      </c>
      <c r="T190" s="288">
        <f t="shared" si="73"/>
        <v>138</v>
      </c>
      <c r="U190" s="289">
        <f t="shared" si="74"/>
        <v>4170</v>
      </c>
      <c r="V190" s="290">
        <f t="shared" si="75"/>
        <v>0</v>
      </c>
      <c r="W190" s="290" t="e">
        <f t="shared" si="76"/>
        <v>#NUM!</v>
      </c>
      <c r="X190" s="290">
        <f t="shared" si="63"/>
        <v>0</v>
      </c>
      <c r="Y190" s="290" t="e">
        <f t="shared" si="64"/>
        <v>#NUM!</v>
      </c>
      <c r="Z190" s="290">
        <f t="shared" si="77"/>
        <v>0</v>
      </c>
      <c r="AA190" s="291"/>
      <c r="AC190"/>
      <c r="AD190"/>
      <c r="AE190"/>
      <c r="AF190"/>
      <c r="AG190"/>
      <c r="AH190"/>
      <c r="AI190"/>
      <c r="AJ190"/>
    </row>
    <row r="191" spans="1:36" hidden="1">
      <c r="A191" s="292">
        <f t="shared" si="54"/>
        <v>12</v>
      </c>
      <c r="B191" s="293">
        <f t="shared" si="69"/>
        <v>139</v>
      </c>
      <c r="C191" s="294">
        <f t="shared" si="70"/>
        <v>50253</v>
      </c>
      <c r="D191" s="295">
        <f t="shared" si="65"/>
        <v>4095773.728966706</v>
      </c>
      <c r="E191" s="295">
        <f t="shared" si="66"/>
        <v>-30010.234142609712</v>
      </c>
      <c r="F191" s="295">
        <f t="shared" si="57"/>
        <v>-10384.651691310924</v>
      </c>
      <c r="G191" s="295">
        <f t="shared" si="58"/>
        <v>-19625.582451298789</v>
      </c>
      <c r="H191" s="296">
        <f t="shared" si="59"/>
        <v>4085389.0772753949</v>
      </c>
      <c r="J191" s="292">
        <f t="shared" si="55"/>
        <v>12</v>
      </c>
      <c r="K191" s="293">
        <f t="shared" si="71"/>
        <v>139</v>
      </c>
      <c r="L191" s="294">
        <f t="shared" si="72"/>
        <v>4200</v>
      </c>
      <c r="M191" s="295">
        <f t="shared" si="67"/>
        <v>0</v>
      </c>
      <c r="N191" s="295" t="e">
        <f t="shared" si="68"/>
        <v>#NUM!</v>
      </c>
      <c r="O191" s="295">
        <f t="shared" si="60"/>
        <v>0</v>
      </c>
      <c r="P191" s="295">
        <f t="shared" si="61"/>
        <v>0</v>
      </c>
      <c r="Q191" s="296">
        <f t="shared" si="62"/>
        <v>0</v>
      </c>
      <c r="S191" s="292">
        <f t="shared" si="56"/>
        <v>12</v>
      </c>
      <c r="T191" s="293">
        <f t="shared" si="73"/>
        <v>139</v>
      </c>
      <c r="U191" s="294">
        <f t="shared" si="74"/>
        <v>4200</v>
      </c>
      <c r="V191" s="295">
        <f t="shared" si="75"/>
        <v>0</v>
      </c>
      <c r="W191" s="290" t="e">
        <f t="shared" si="76"/>
        <v>#NUM!</v>
      </c>
      <c r="X191" s="295">
        <f t="shared" si="63"/>
        <v>0</v>
      </c>
      <c r="Y191" s="295" t="e">
        <f t="shared" si="64"/>
        <v>#NUM!</v>
      </c>
      <c r="Z191" s="295">
        <f t="shared" si="77"/>
        <v>0</v>
      </c>
      <c r="AA191" s="296"/>
      <c r="AC191"/>
      <c r="AD191"/>
      <c r="AE191"/>
      <c r="AF191"/>
      <c r="AG191"/>
      <c r="AH191"/>
      <c r="AI191"/>
      <c r="AJ191"/>
    </row>
    <row r="192" spans="1:36" hidden="1">
      <c r="A192" s="287">
        <f t="shared" si="54"/>
        <v>12</v>
      </c>
      <c r="B192" s="288">
        <f t="shared" si="69"/>
        <v>140</v>
      </c>
      <c r="C192" s="289">
        <f t="shared" si="70"/>
        <v>50284</v>
      </c>
      <c r="D192" s="290">
        <f t="shared" si="65"/>
        <v>4085389.0772753949</v>
      </c>
      <c r="E192" s="290">
        <f t="shared" si="66"/>
        <v>-30010.234142609712</v>
      </c>
      <c r="F192" s="290">
        <f t="shared" si="57"/>
        <v>-10434.411480665121</v>
      </c>
      <c r="G192" s="290">
        <f t="shared" si="58"/>
        <v>-19575.822661944589</v>
      </c>
      <c r="H192" s="291">
        <f t="shared" si="59"/>
        <v>4074954.6657947297</v>
      </c>
      <c r="J192" s="287">
        <f t="shared" si="55"/>
        <v>12</v>
      </c>
      <c r="K192" s="288">
        <f t="shared" si="71"/>
        <v>140</v>
      </c>
      <c r="L192" s="289">
        <f t="shared" si="72"/>
        <v>4231</v>
      </c>
      <c r="M192" s="290">
        <f t="shared" si="67"/>
        <v>0</v>
      </c>
      <c r="N192" s="290" t="e">
        <f t="shared" si="68"/>
        <v>#NUM!</v>
      </c>
      <c r="O192" s="290">
        <f t="shared" si="60"/>
        <v>0</v>
      </c>
      <c r="P192" s="290">
        <f t="shared" si="61"/>
        <v>0</v>
      </c>
      <c r="Q192" s="291">
        <f t="shared" si="62"/>
        <v>0</v>
      </c>
      <c r="S192" s="287">
        <f t="shared" si="56"/>
        <v>12</v>
      </c>
      <c r="T192" s="288">
        <f t="shared" si="73"/>
        <v>140</v>
      </c>
      <c r="U192" s="289">
        <f t="shared" si="74"/>
        <v>4231</v>
      </c>
      <c r="V192" s="290">
        <f t="shared" si="75"/>
        <v>0</v>
      </c>
      <c r="W192" s="290" t="e">
        <f t="shared" si="76"/>
        <v>#NUM!</v>
      </c>
      <c r="X192" s="290">
        <f t="shared" si="63"/>
        <v>0</v>
      </c>
      <c r="Y192" s="290" t="e">
        <f t="shared" si="64"/>
        <v>#NUM!</v>
      </c>
      <c r="Z192" s="290">
        <f t="shared" si="77"/>
        <v>0</v>
      </c>
      <c r="AA192" s="291"/>
      <c r="AC192"/>
      <c r="AD192"/>
      <c r="AE192"/>
      <c r="AF192"/>
      <c r="AG192"/>
      <c r="AH192"/>
      <c r="AI192"/>
      <c r="AJ192"/>
    </row>
    <row r="193" spans="1:36" hidden="1">
      <c r="A193" s="292">
        <f t="shared" si="54"/>
        <v>12</v>
      </c>
      <c r="B193" s="293">
        <f t="shared" si="69"/>
        <v>141</v>
      </c>
      <c r="C193" s="294">
        <f t="shared" si="70"/>
        <v>50314</v>
      </c>
      <c r="D193" s="295">
        <f t="shared" si="65"/>
        <v>4074954.6657947297</v>
      </c>
      <c r="E193" s="295">
        <f t="shared" si="66"/>
        <v>-30010.234142609712</v>
      </c>
      <c r="F193" s="295">
        <f t="shared" si="57"/>
        <v>-10484.40970234331</v>
      </c>
      <c r="G193" s="295">
        <f t="shared" si="58"/>
        <v>-19525.824440266406</v>
      </c>
      <c r="H193" s="298">
        <f t="shared" si="59"/>
        <v>4064470.2560923863</v>
      </c>
      <c r="J193" s="292">
        <f t="shared" si="55"/>
        <v>12</v>
      </c>
      <c r="K193" s="293">
        <f t="shared" si="71"/>
        <v>141</v>
      </c>
      <c r="L193" s="294">
        <f t="shared" si="72"/>
        <v>4262</v>
      </c>
      <c r="M193" s="295">
        <f t="shared" si="67"/>
        <v>0</v>
      </c>
      <c r="N193" s="295" t="e">
        <f t="shared" si="68"/>
        <v>#NUM!</v>
      </c>
      <c r="O193" s="295">
        <f t="shared" si="60"/>
        <v>0</v>
      </c>
      <c r="P193" s="295">
        <f t="shared" si="61"/>
        <v>0</v>
      </c>
      <c r="Q193" s="298">
        <f t="shared" si="62"/>
        <v>0</v>
      </c>
      <c r="S193" s="292">
        <f t="shared" si="56"/>
        <v>12</v>
      </c>
      <c r="T193" s="293">
        <f t="shared" si="73"/>
        <v>141</v>
      </c>
      <c r="U193" s="294">
        <f t="shared" si="74"/>
        <v>4262</v>
      </c>
      <c r="V193" s="295">
        <f t="shared" si="75"/>
        <v>0</v>
      </c>
      <c r="W193" s="290" t="e">
        <f t="shared" si="76"/>
        <v>#NUM!</v>
      </c>
      <c r="X193" s="295">
        <f t="shared" si="63"/>
        <v>0</v>
      </c>
      <c r="Y193" s="295" t="e">
        <f t="shared" si="64"/>
        <v>#NUM!</v>
      </c>
      <c r="Z193" s="295">
        <f t="shared" si="77"/>
        <v>0</v>
      </c>
      <c r="AA193" s="298"/>
      <c r="AC193"/>
      <c r="AD193"/>
      <c r="AE193"/>
      <c r="AF193"/>
      <c r="AG193"/>
      <c r="AH193"/>
      <c r="AI193"/>
      <c r="AJ193"/>
    </row>
    <row r="194" spans="1:36" hidden="1">
      <c r="A194" s="287">
        <f t="shared" ref="A194:A257" si="78">A182+1</f>
        <v>12</v>
      </c>
      <c r="B194" s="288">
        <f t="shared" si="69"/>
        <v>142</v>
      </c>
      <c r="C194" s="289">
        <f t="shared" si="70"/>
        <v>50345</v>
      </c>
      <c r="D194" s="290">
        <f t="shared" si="65"/>
        <v>4064470.2560923863</v>
      </c>
      <c r="E194" s="290">
        <f t="shared" si="66"/>
        <v>-30010.234142609712</v>
      </c>
      <c r="F194" s="290">
        <f t="shared" si="57"/>
        <v>-10534.647498833705</v>
      </c>
      <c r="G194" s="290">
        <f t="shared" si="58"/>
        <v>-19475.586643776005</v>
      </c>
      <c r="H194" s="291">
        <f t="shared" si="59"/>
        <v>4053935.6085935528</v>
      </c>
      <c r="J194" s="287">
        <f t="shared" ref="J194:J257" si="79">J182+1</f>
        <v>12</v>
      </c>
      <c r="K194" s="288">
        <f t="shared" si="71"/>
        <v>142</v>
      </c>
      <c r="L194" s="289">
        <f t="shared" si="72"/>
        <v>4292</v>
      </c>
      <c r="M194" s="290">
        <f t="shared" si="67"/>
        <v>0</v>
      </c>
      <c r="N194" s="290" t="e">
        <f t="shared" si="68"/>
        <v>#NUM!</v>
      </c>
      <c r="O194" s="290">
        <f t="shared" si="60"/>
        <v>0</v>
      </c>
      <c r="P194" s="290">
        <f t="shared" si="61"/>
        <v>0</v>
      </c>
      <c r="Q194" s="291">
        <f t="shared" si="62"/>
        <v>0</v>
      </c>
      <c r="S194" s="287">
        <f t="shared" ref="S194:S257" si="80">S182+1</f>
        <v>12</v>
      </c>
      <c r="T194" s="288">
        <f t="shared" si="73"/>
        <v>142</v>
      </c>
      <c r="U194" s="289">
        <f t="shared" si="74"/>
        <v>4292</v>
      </c>
      <c r="V194" s="290">
        <f t="shared" si="75"/>
        <v>0</v>
      </c>
      <c r="W194" s="290" t="e">
        <f t="shared" si="76"/>
        <v>#NUM!</v>
      </c>
      <c r="X194" s="290">
        <f t="shared" si="63"/>
        <v>0</v>
      </c>
      <c r="Y194" s="290" t="e">
        <f t="shared" si="64"/>
        <v>#NUM!</v>
      </c>
      <c r="Z194" s="290">
        <f t="shared" si="77"/>
        <v>0</v>
      </c>
      <c r="AA194" s="291"/>
      <c r="AC194"/>
      <c r="AD194"/>
      <c r="AE194"/>
      <c r="AF194"/>
      <c r="AG194"/>
      <c r="AH194"/>
      <c r="AI194"/>
      <c r="AJ194"/>
    </row>
    <row r="195" spans="1:36" hidden="1">
      <c r="A195" s="292">
        <f t="shared" si="78"/>
        <v>12</v>
      </c>
      <c r="B195" s="293">
        <f t="shared" si="69"/>
        <v>143</v>
      </c>
      <c r="C195" s="294">
        <f t="shared" si="70"/>
        <v>50375</v>
      </c>
      <c r="D195" s="295">
        <f t="shared" si="65"/>
        <v>4053935.6085935528</v>
      </c>
      <c r="E195" s="295">
        <f t="shared" si="66"/>
        <v>-30010.234142609712</v>
      </c>
      <c r="F195" s="295">
        <f t="shared" si="57"/>
        <v>-10585.12601809895</v>
      </c>
      <c r="G195" s="295">
        <f t="shared" si="58"/>
        <v>-19425.108124510763</v>
      </c>
      <c r="H195" s="296">
        <f t="shared" si="59"/>
        <v>4043350.4825754538</v>
      </c>
      <c r="J195" s="292">
        <f t="shared" si="79"/>
        <v>12</v>
      </c>
      <c r="K195" s="293">
        <f t="shared" si="71"/>
        <v>143</v>
      </c>
      <c r="L195" s="294">
        <f t="shared" si="72"/>
        <v>4323</v>
      </c>
      <c r="M195" s="295">
        <f t="shared" si="67"/>
        <v>0</v>
      </c>
      <c r="N195" s="295" t="e">
        <f t="shared" si="68"/>
        <v>#NUM!</v>
      </c>
      <c r="O195" s="295">
        <f t="shared" si="60"/>
        <v>0</v>
      </c>
      <c r="P195" s="295">
        <f t="shared" si="61"/>
        <v>0</v>
      </c>
      <c r="Q195" s="296">
        <f t="shared" si="62"/>
        <v>0</v>
      </c>
      <c r="S195" s="292">
        <f t="shared" si="80"/>
        <v>12</v>
      </c>
      <c r="T195" s="293">
        <f t="shared" si="73"/>
        <v>143</v>
      </c>
      <c r="U195" s="294">
        <f t="shared" si="74"/>
        <v>4323</v>
      </c>
      <c r="V195" s="295">
        <f t="shared" si="75"/>
        <v>0</v>
      </c>
      <c r="W195" s="290" t="e">
        <f t="shared" si="76"/>
        <v>#NUM!</v>
      </c>
      <c r="X195" s="295">
        <f t="shared" si="63"/>
        <v>0</v>
      </c>
      <c r="Y195" s="295" t="e">
        <f t="shared" si="64"/>
        <v>#NUM!</v>
      </c>
      <c r="Z195" s="295">
        <f t="shared" si="77"/>
        <v>0</v>
      </c>
      <c r="AA195" s="296"/>
      <c r="AC195"/>
      <c r="AD195"/>
      <c r="AE195"/>
      <c r="AF195"/>
      <c r="AG195"/>
      <c r="AH195"/>
      <c r="AI195"/>
      <c r="AJ195"/>
    </row>
    <row r="196" spans="1:36" hidden="1">
      <c r="A196" s="287">
        <f t="shared" si="78"/>
        <v>12</v>
      </c>
      <c r="B196" s="288">
        <f t="shared" si="69"/>
        <v>144</v>
      </c>
      <c r="C196" s="289">
        <f t="shared" si="70"/>
        <v>50406</v>
      </c>
      <c r="D196" s="290">
        <f t="shared" si="65"/>
        <v>4043350.4825754538</v>
      </c>
      <c r="E196" s="290">
        <f t="shared" si="66"/>
        <v>-30010.234142609712</v>
      </c>
      <c r="F196" s="290">
        <f t="shared" si="57"/>
        <v>-10635.846413602338</v>
      </c>
      <c r="G196" s="290">
        <f t="shared" si="58"/>
        <v>-19374.387729007376</v>
      </c>
      <c r="H196" s="291">
        <f t="shared" si="59"/>
        <v>4032714.6361618517</v>
      </c>
      <c r="J196" s="287">
        <f t="shared" si="79"/>
        <v>12</v>
      </c>
      <c r="K196" s="288">
        <f t="shared" si="71"/>
        <v>144</v>
      </c>
      <c r="L196" s="289">
        <f t="shared" si="72"/>
        <v>4353</v>
      </c>
      <c r="M196" s="290">
        <f t="shared" si="67"/>
        <v>0</v>
      </c>
      <c r="N196" s="290" t="e">
        <f t="shared" si="68"/>
        <v>#NUM!</v>
      </c>
      <c r="O196" s="290">
        <f t="shared" si="60"/>
        <v>0</v>
      </c>
      <c r="P196" s="290">
        <f t="shared" si="61"/>
        <v>0</v>
      </c>
      <c r="Q196" s="291">
        <f t="shared" si="62"/>
        <v>0</v>
      </c>
      <c r="S196" s="287">
        <f t="shared" si="80"/>
        <v>12</v>
      </c>
      <c r="T196" s="288">
        <f t="shared" si="73"/>
        <v>144</v>
      </c>
      <c r="U196" s="289">
        <f t="shared" si="74"/>
        <v>4353</v>
      </c>
      <c r="V196" s="290">
        <f t="shared" si="75"/>
        <v>0</v>
      </c>
      <c r="W196" s="290" t="e">
        <f t="shared" si="76"/>
        <v>#NUM!</v>
      </c>
      <c r="X196" s="290">
        <f t="shared" si="63"/>
        <v>0</v>
      </c>
      <c r="Y196" s="290" t="e">
        <f t="shared" si="64"/>
        <v>#NUM!</v>
      </c>
      <c r="Z196" s="290">
        <f t="shared" si="77"/>
        <v>0</v>
      </c>
      <c r="AA196" s="291"/>
      <c r="AC196"/>
      <c r="AD196"/>
      <c r="AE196"/>
      <c r="AF196"/>
      <c r="AG196"/>
      <c r="AH196"/>
      <c r="AI196"/>
      <c r="AJ196"/>
    </row>
    <row r="197" spans="1:36" hidden="1">
      <c r="A197" s="292">
        <f t="shared" si="78"/>
        <v>13</v>
      </c>
      <c r="B197" s="293">
        <f t="shared" si="69"/>
        <v>145</v>
      </c>
      <c r="C197" s="294">
        <f t="shared" si="70"/>
        <v>50437</v>
      </c>
      <c r="D197" s="295">
        <f t="shared" si="65"/>
        <v>4032714.6361618517</v>
      </c>
      <c r="E197" s="295">
        <f t="shared" si="66"/>
        <v>-30010.234142609712</v>
      </c>
      <c r="F197" s="295">
        <f t="shared" si="57"/>
        <v>-10686.809844334182</v>
      </c>
      <c r="G197" s="295">
        <f t="shared" si="58"/>
        <v>-19323.424298275531</v>
      </c>
      <c r="H197" s="298">
        <f t="shared" si="59"/>
        <v>4022027.8263175176</v>
      </c>
      <c r="J197" s="292">
        <f t="shared" si="79"/>
        <v>13</v>
      </c>
      <c r="K197" s="293">
        <f t="shared" si="71"/>
        <v>145</v>
      </c>
      <c r="L197" s="294">
        <f t="shared" si="72"/>
        <v>4384</v>
      </c>
      <c r="M197" s="295">
        <f t="shared" si="67"/>
        <v>0</v>
      </c>
      <c r="N197" s="295" t="e">
        <f t="shared" si="68"/>
        <v>#NUM!</v>
      </c>
      <c r="O197" s="295">
        <f t="shared" si="60"/>
        <v>0</v>
      </c>
      <c r="P197" s="295">
        <f t="shared" si="61"/>
        <v>0</v>
      </c>
      <c r="Q197" s="298">
        <f t="shared" si="62"/>
        <v>0</v>
      </c>
      <c r="S197" s="292">
        <f t="shared" si="80"/>
        <v>13</v>
      </c>
      <c r="T197" s="293">
        <f t="shared" si="73"/>
        <v>145</v>
      </c>
      <c r="U197" s="294">
        <f t="shared" si="74"/>
        <v>4384</v>
      </c>
      <c r="V197" s="295">
        <f t="shared" si="75"/>
        <v>0</v>
      </c>
      <c r="W197" s="290" t="e">
        <f t="shared" si="76"/>
        <v>#NUM!</v>
      </c>
      <c r="X197" s="295">
        <f t="shared" si="63"/>
        <v>0</v>
      </c>
      <c r="Y197" s="295" t="e">
        <f t="shared" si="64"/>
        <v>#NUM!</v>
      </c>
      <c r="Z197" s="295">
        <f t="shared" si="77"/>
        <v>0</v>
      </c>
      <c r="AA197" s="298"/>
      <c r="AC197"/>
      <c r="AD197"/>
      <c r="AE197"/>
      <c r="AF197"/>
      <c r="AG197"/>
      <c r="AH197"/>
      <c r="AI197"/>
      <c r="AJ197"/>
    </row>
    <row r="198" spans="1:36" hidden="1">
      <c r="A198" s="287">
        <f t="shared" si="78"/>
        <v>13</v>
      </c>
      <c r="B198" s="288">
        <f t="shared" si="69"/>
        <v>146</v>
      </c>
      <c r="C198" s="289">
        <f t="shared" si="70"/>
        <v>50465</v>
      </c>
      <c r="D198" s="290">
        <f t="shared" si="65"/>
        <v>4022027.8263175176</v>
      </c>
      <c r="E198" s="290">
        <f t="shared" si="66"/>
        <v>-30010.234142609712</v>
      </c>
      <c r="F198" s="290">
        <f t="shared" si="57"/>
        <v>-10738.017474838287</v>
      </c>
      <c r="G198" s="290">
        <f t="shared" si="58"/>
        <v>-19272.21666777143</v>
      </c>
      <c r="H198" s="291">
        <f t="shared" si="59"/>
        <v>4011289.8088426795</v>
      </c>
      <c r="J198" s="287">
        <f t="shared" si="79"/>
        <v>13</v>
      </c>
      <c r="K198" s="288">
        <f t="shared" si="71"/>
        <v>146</v>
      </c>
      <c r="L198" s="289">
        <f t="shared" si="72"/>
        <v>4415</v>
      </c>
      <c r="M198" s="290">
        <f t="shared" si="67"/>
        <v>0</v>
      </c>
      <c r="N198" s="290" t="e">
        <f t="shared" si="68"/>
        <v>#NUM!</v>
      </c>
      <c r="O198" s="290">
        <f t="shared" si="60"/>
        <v>0</v>
      </c>
      <c r="P198" s="290">
        <f t="shared" si="61"/>
        <v>0</v>
      </c>
      <c r="Q198" s="291">
        <f t="shared" si="62"/>
        <v>0</v>
      </c>
      <c r="S198" s="287">
        <f t="shared" si="80"/>
        <v>13</v>
      </c>
      <c r="T198" s="288">
        <f t="shared" si="73"/>
        <v>146</v>
      </c>
      <c r="U198" s="289">
        <f t="shared" si="74"/>
        <v>4415</v>
      </c>
      <c r="V198" s="290">
        <f t="shared" si="75"/>
        <v>0</v>
      </c>
      <c r="W198" s="290" t="e">
        <f t="shared" si="76"/>
        <v>#NUM!</v>
      </c>
      <c r="X198" s="290">
        <f t="shared" si="63"/>
        <v>0</v>
      </c>
      <c r="Y198" s="290" t="e">
        <f t="shared" si="64"/>
        <v>#NUM!</v>
      </c>
      <c r="Z198" s="290">
        <f t="shared" si="77"/>
        <v>0</v>
      </c>
      <c r="AA198" s="291"/>
      <c r="AC198"/>
      <c r="AD198"/>
      <c r="AE198"/>
      <c r="AF198"/>
      <c r="AG198"/>
      <c r="AH198"/>
      <c r="AI198"/>
      <c r="AJ198"/>
    </row>
    <row r="199" spans="1:36" hidden="1">
      <c r="A199" s="292">
        <f t="shared" si="78"/>
        <v>13</v>
      </c>
      <c r="B199" s="293">
        <f t="shared" si="69"/>
        <v>147</v>
      </c>
      <c r="C199" s="294">
        <f t="shared" si="70"/>
        <v>50496</v>
      </c>
      <c r="D199" s="295">
        <f t="shared" si="65"/>
        <v>4011289.8088426795</v>
      </c>
      <c r="E199" s="295">
        <f t="shared" si="66"/>
        <v>-30010.234142609712</v>
      </c>
      <c r="F199" s="295">
        <f t="shared" si="57"/>
        <v>-10789.470475238551</v>
      </c>
      <c r="G199" s="295">
        <f t="shared" si="58"/>
        <v>-19220.76366737116</v>
      </c>
      <c r="H199" s="296">
        <f t="shared" si="59"/>
        <v>4000500.3383674407</v>
      </c>
      <c r="J199" s="292">
        <f t="shared" si="79"/>
        <v>13</v>
      </c>
      <c r="K199" s="293">
        <f t="shared" si="71"/>
        <v>147</v>
      </c>
      <c r="L199" s="294">
        <f t="shared" si="72"/>
        <v>4444</v>
      </c>
      <c r="M199" s="295">
        <f t="shared" si="67"/>
        <v>0</v>
      </c>
      <c r="N199" s="295" t="e">
        <f t="shared" si="68"/>
        <v>#NUM!</v>
      </c>
      <c r="O199" s="295">
        <f t="shared" si="60"/>
        <v>0</v>
      </c>
      <c r="P199" s="295">
        <f t="shared" si="61"/>
        <v>0</v>
      </c>
      <c r="Q199" s="296">
        <f t="shared" si="62"/>
        <v>0</v>
      </c>
      <c r="S199" s="292">
        <f t="shared" si="80"/>
        <v>13</v>
      </c>
      <c r="T199" s="293">
        <f t="shared" si="73"/>
        <v>147</v>
      </c>
      <c r="U199" s="294">
        <f t="shared" si="74"/>
        <v>4444</v>
      </c>
      <c r="V199" s="295">
        <f t="shared" si="75"/>
        <v>0</v>
      </c>
      <c r="W199" s="290" t="e">
        <f t="shared" si="76"/>
        <v>#NUM!</v>
      </c>
      <c r="X199" s="295">
        <f t="shared" si="63"/>
        <v>0</v>
      </c>
      <c r="Y199" s="295" t="e">
        <f t="shared" si="64"/>
        <v>#NUM!</v>
      </c>
      <c r="Z199" s="295">
        <f t="shared" si="77"/>
        <v>0</v>
      </c>
      <c r="AA199" s="296"/>
      <c r="AC199"/>
      <c r="AD199"/>
      <c r="AE199"/>
      <c r="AF199"/>
      <c r="AG199"/>
      <c r="AH199"/>
      <c r="AI199"/>
      <c r="AJ199"/>
    </row>
    <row r="200" spans="1:36" hidden="1">
      <c r="A200" s="287">
        <f t="shared" si="78"/>
        <v>13</v>
      </c>
      <c r="B200" s="288">
        <f t="shared" si="69"/>
        <v>148</v>
      </c>
      <c r="C200" s="289">
        <f t="shared" si="70"/>
        <v>50526</v>
      </c>
      <c r="D200" s="290">
        <f t="shared" si="65"/>
        <v>4000500.3383674407</v>
      </c>
      <c r="E200" s="290">
        <f t="shared" si="66"/>
        <v>-30010.234142609712</v>
      </c>
      <c r="F200" s="290">
        <f t="shared" si="57"/>
        <v>-10841.170021265736</v>
      </c>
      <c r="G200" s="290">
        <f t="shared" si="58"/>
        <v>-19169.064121343978</v>
      </c>
      <c r="H200" s="291">
        <f t="shared" si="59"/>
        <v>3989659.168346175</v>
      </c>
      <c r="J200" s="287">
        <f t="shared" si="79"/>
        <v>13</v>
      </c>
      <c r="K200" s="288">
        <f t="shared" si="71"/>
        <v>148</v>
      </c>
      <c r="L200" s="289">
        <f t="shared" si="72"/>
        <v>4475</v>
      </c>
      <c r="M200" s="290">
        <f t="shared" si="67"/>
        <v>0</v>
      </c>
      <c r="N200" s="290" t="e">
        <f t="shared" si="68"/>
        <v>#NUM!</v>
      </c>
      <c r="O200" s="290">
        <f t="shared" si="60"/>
        <v>0</v>
      </c>
      <c r="P200" s="290">
        <f t="shared" si="61"/>
        <v>0</v>
      </c>
      <c r="Q200" s="291">
        <f t="shared" si="62"/>
        <v>0</v>
      </c>
      <c r="S200" s="287">
        <f t="shared" si="80"/>
        <v>13</v>
      </c>
      <c r="T200" s="288">
        <f t="shared" si="73"/>
        <v>148</v>
      </c>
      <c r="U200" s="289">
        <f t="shared" si="74"/>
        <v>4475</v>
      </c>
      <c r="V200" s="290">
        <f t="shared" si="75"/>
        <v>0</v>
      </c>
      <c r="W200" s="290" t="e">
        <f t="shared" si="76"/>
        <v>#NUM!</v>
      </c>
      <c r="X200" s="290">
        <f t="shared" si="63"/>
        <v>0</v>
      </c>
      <c r="Y200" s="290" t="e">
        <f t="shared" si="64"/>
        <v>#NUM!</v>
      </c>
      <c r="Z200" s="290">
        <f t="shared" si="77"/>
        <v>0</v>
      </c>
      <c r="AA200" s="291"/>
      <c r="AC200"/>
      <c r="AD200"/>
      <c r="AE200"/>
      <c r="AF200"/>
      <c r="AG200"/>
      <c r="AH200"/>
      <c r="AI200"/>
      <c r="AJ200"/>
    </row>
    <row r="201" spans="1:36" hidden="1">
      <c r="A201" s="292">
        <f t="shared" si="78"/>
        <v>13</v>
      </c>
      <c r="B201" s="293">
        <f t="shared" si="69"/>
        <v>149</v>
      </c>
      <c r="C201" s="294">
        <f t="shared" si="70"/>
        <v>50557</v>
      </c>
      <c r="D201" s="295">
        <f t="shared" si="65"/>
        <v>3989659.168346175</v>
      </c>
      <c r="E201" s="295">
        <f t="shared" si="66"/>
        <v>-30010.234142609712</v>
      </c>
      <c r="F201" s="295">
        <f t="shared" si="57"/>
        <v>-10893.1172942843</v>
      </c>
      <c r="G201" s="295">
        <f t="shared" si="58"/>
        <v>-19117.116848325411</v>
      </c>
      <c r="H201" s="298">
        <f t="shared" si="59"/>
        <v>3978766.0510518905</v>
      </c>
      <c r="J201" s="292">
        <f t="shared" si="79"/>
        <v>13</v>
      </c>
      <c r="K201" s="293">
        <f t="shared" si="71"/>
        <v>149</v>
      </c>
      <c r="L201" s="294">
        <f t="shared" si="72"/>
        <v>4505</v>
      </c>
      <c r="M201" s="295">
        <f t="shared" si="67"/>
        <v>0</v>
      </c>
      <c r="N201" s="295" t="e">
        <f t="shared" si="68"/>
        <v>#NUM!</v>
      </c>
      <c r="O201" s="295">
        <f t="shared" si="60"/>
        <v>0</v>
      </c>
      <c r="P201" s="295">
        <f t="shared" si="61"/>
        <v>0</v>
      </c>
      <c r="Q201" s="298">
        <f t="shared" si="62"/>
        <v>0</v>
      </c>
      <c r="S201" s="292">
        <f t="shared" si="80"/>
        <v>13</v>
      </c>
      <c r="T201" s="293">
        <f t="shared" si="73"/>
        <v>149</v>
      </c>
      <c r="U201" s="294">
        <f t="shared" si="74"/>
        <v>4505</v>
      </c>
      <c r="V201" s="295">
        <f t="shared" si="75"/>
        <v>0</v>
      </c>
      <c r="W201" s="290" t="e">
        <f t="shared" si="76"/>
        <v>#NUM!</v>
      </c>
      <c r="X201" s="295">
        <f t="shared" si="63"/>
        <v>0</v>
      </c>
      <c r="Y201" s="295" t="e">
        <f t="shared" si="64"/>
        <v>#NUM!</v>
      </c>
      <c r="Z201" s="295">
        <f t="shared" si="77"/>
        <v>0</v>
      </c>
      <c r="AA201" s="298"/>
      <c r="AC201"/>
      <c r="AD201"/>
      <c r="AE201"/>
      <c r="AF201"/>
      <c r="AG201"/>
      <c r="AH201"/>
      <c r="AI201"/>
      <c r="AJ201"/>
    </row>
    <row r="202" spans="1:36" hidden="1">
      <c r="A202" s="287">
        <f t="shared" si="78"/>
        <v>13</v>
      </c>
      <c r="B202" s="288">
        <f t="shared" si="69"/>
        <v>150</v>
      </c>
      <c r="C202" s="289">
        <f t="shared" si="70"/>
        <v>50587</v>
      </c>
      <c r="D202" s="290">
        <f t="shared" si="65"/>
        <v>3978766.0510518905</v>
      </c>
      <c r="E202" s="290">
        <f t="shared" si="66"/>
        <v>-30010.234142609712</v>
      </c>
      <c r="F202" s="290">
        <f t="shared" si="57"/>
        <v>-10945.313481319412</v>
      </c>
      <c r="G202" s="290">
        <f t="shared" si="58"/>
        <v>-19064.9206612903</v>
      </c>
      <c r="H202" s="291">
        <f t="shared" si="59"/>
        <v>3967820.7375705712</v>
      </c>
      <c r="J202" s="287">
        <f t="shared" si="79"/>
        <v>13</v>
      </c>
      <c r="K202" s="288">
        <f t="shared" si="71"/>
        <v>150</v>
      </c>
      <c r="L202" s="289">
        <f t="shared" si="72"/>
        <v>4536</v>
      </c>
      <c r="M202" s="290">
        <f t="shared" si="67"/>
        <v>0</v>
      </c>
      <c r="N202" s="290" t="e">
        <f t="shared" si="68"/>
        <v>#NUM!</v>
      </c>
      <c r="O202" s="290">
        <f t="shared" si="60"/>
        <v>0</v>
      </c>
      <c r="P202" s="290">
        <f t="shared" si="61"/>
        <v>0</v>
      </c>
      <c r="Q202" s="291">
        <f t="shared" si="62"/>
        <v>0</v>
      </c>
      <c r="S202" s="287">
        <f t="shared" si="80"/>
        <v>13</v>
      </c>
      <c r="T202" s="288">
        <f t="shared" si="73"/>
        <v>150</v>
      </c>
      <c r="U202" s="289">
        <f t="shared" si="74"/>
        <v>4536</v>
      </c>
      <c r="V202" s="290">
        <f t="shared" si="75"/>
        <v>0</v>
      </c>
      <c r="W202" s="290" t="e">
        <f t="shared" si="76"/>
        <v>#NUM!</v>
      </c>
      <c r="X202" s="290">
        <f t="shared" si="63"/>
        <v>0</v>
      </c>
      <c r="Y202" s="290" t="e">
        <f t="shared" si="64"/>
        <v>#NUM!</v>
      </c>
      <c r="Z202" s="290">
        <f t="shared" si="77"/>
        <v>0</v>
      </c>
      <c r="AA202" s="291"/>
      <c r="AC202"/>
      <c r="AD202"/>
      <c r="AE202"/>
      <c r="AF202"/>
      <c r="AG202"/>
      <c r="AH202"/>
      <c r="AI202"/>
      <c r="AJ202"/>
    </row>
    <row r="203" spans="1:36" hidden="1">
      <c r="A203" s="292">
        <f t="shared" si="78"/>
        <v>13</v>
      </c>
      <c r="B203" s="293">
        <f t="shared" si="69"/>
        <v>151</v>
      </c>
      <c r="C203" s="294">
        <f t="shared" si="70"/>
        <v>50618</v>
      </c>
      <c r="D203" s="295">
        <f t="shared" si="65"/>
        <v>3967820.7375705712</v>
      </c>
      <c r="E203" s="295">
        <f t="shared" si="66"/>
        <v>-30010.234142609712</v>
      </c>
      <c r="F203" s="295">
        <f t="shared" si="57"/>
        <v>-10997.759775084069</v>
      </c>
      <c r="G203" s="295">
        <f t="shared" si="58"/>
        <v>-19012.474367525643</v>
      </c>
      <c r="H203" s="296">
        <f t="shared" si="59"/>
        <v>3956822.9777954873</v>
      </c>
      <c r="J203" s="292">
        <f t="shared" si="79"/>
        <v>13</v>
      </c>
      <c r="K203" s="293">
        <f t="shared" si="71"/>
        <v>151</v>
      </c>
      <c r="L203" s="294">
        <f t="shared" si="72"/>
        <v>4566</v>
      </c>
      <c r="M203" s="295">
        <f t="shared" si="67"/>
        <v>0</v>
      </c>
      <c r="N203" s="295" t="e">
        <f t="shared" si="68"/>
        <v>#NUM!</v>
      </c>
      <c r="O203" s="295">
        <f t="shared" si="60"/>
        <v>0</v>
      </c>
      <c r="P203" s="295">
        <f t="shared" si="61"/>
        <v>0</v>
      </c>
      <c r="Q203" s="296">
        <f t="shared" si="62"/>
        <v>0</v>
      </c>
      <c r="S203" s="292">
        <f t="shared" si="80"/>
        <v>13</v>
      </c>
      <c r="T203" s="293">
        <f t="shared" si="73"/>
        <v>151</v>
      </c>
      <c r="U203" s="294">
        <f t="shared" si="74"/>
        <v>4566</v>
      </c>
      <c r="V203" s="295">
        <f t="shared" si="75"/>
        <v>0</v>
      </c>
      <c r="W203" s="290" t="e">
        <f t="shared" si="76"/>
        <v>#NUM!</v>
      </c>
      <c r="X203" s="295">
        <f t="shared" si="63"/>
        <v>0</v>
      </c>
      <c r="Y203" s="295" t="e">
        <f t="shared" si="64"/>
        <v>#NUM!</v>
      </c>
      <c r="Z203" s="295">
        <f t="shared" si="77"/>
        <v>0</v>
      </c>
      <c r="AA203" s="296"/>
      <c r="AC203"/>
      <c r="AD203"/>
      <c r="AE203"/>
      <c r="AF203"/>
      <c r="AG203"/>
      <c r="AH203"/>
      <c r="AI203"/>
      <c r="AJ203"/>
    </row>
    <row r="204" spans="1:36" hidden="1">
      <c r="A204" s="287">
        <f t="shared" si="78"/>
        <v>13</v>
      </c>
      <c r="B204" s="288">
        <f t="shared" si="69"/>
        <v>152</v>
      </c>
      <c r="C204" s="289">
        <f t="shared" si="70"/>
        <v>50649</v>
      </c>
      <c r="D204" s="290">
        <f t="shared" si="65"/>
        <v>3956822.9777954873</v>
      </c>
      <c r="E204" s="290">
        <f t="shared" si="66"/>
        <v>-30010.234142609712</v>
      </c>
      <c r="F204" s="290">
        <f t="shared" si="57"/>
        <v>-11050.457374006348</v>
      </c>
      <c r="G204" s="290">
        <f t="shared" si="58"/>
        <v>-18959.776768603366</v>
      </c>
      <c r="H204" s="291">
        <f t="shared" si="59"/>
        <v>3945772.5204214808</v>
      </c>
      <c r="J204" s="287">
        <f t="shared" si="79"/>
        <v>13</v>
      </c>
      <c r="K204" s="288">
        <f t="shared" si="71"/>
        <v>152</v>
      </c>
      <c r="L204" s="289">
        <f t="shared" si="72"/>
        <v>4597</v>
      </c>
      <c r="M204" s="290">
        <f t="shared" si="67"/>
        <v>0</v>
      </c>
      <c r="N204" s="290" t="e">
        <f t="shared" si="68"/>
        <v>#NUM!</v>
      </c>
      <c r="O204" s="290">
        <f t="shared" si="60"/>
        <v>0</v>
      </c>
      <c r="P204" s="290">
        <f t="shared" si="61"/>
        <v>0</v>
      </c>
      <c r="Q204" s="291">
        <f t="shared" si="62"/>
        <v>0</v>
      </c>
      <c r="S204" s="287">
        <f t="shared" si="80"/>
        <v>13</v>
      </c>
      <c r="T204" s="288">
        <f t="shared" si="73"/>
        <v>152</v>
      </c>
      <c r="U204" s="289">
        <f t="shared" si="74"/>
        <v>4597</v>
      </c>
      <c r="V204" s="290">
        <f t="shared" si="75"/>
        <v>0</v>
      </c>
      <c r="W204" s="290" t="e">
        <f t="shared" si="76"/>
        <v>#NUM!</v>
      </c>
      <c r="X204" s="290">
        <f t="shared" si="63"/>
        <v>0</v>
      </c>
      <c r="Y204" s="290" t="e">
        <f t="shared" si="64"/>
        <v>#NUM!</v>
      </c>
      <c r="Z204" s="290">
        <f t="shared" si="77"/>
        <v>0</v>
      </c>
      <c r="AA204" s="291"/>
      <c r="AC204"/>
      <c r="AD204"/>
      <c r="AE204"/>
      <c r="AF204"/>
      <c r="AG204"/>
      <c r="AH204"/>
      <c r="AI204"/>
      <c r="AJ204"/>
    </row>
    <row r="205" spans="1:36" hidden="1">
      <c r="A205" s="292">
        <f t="shared" si="78"/>
        <v>13</v>
      </c>
      <c r="B205" s="293">
        <f t="shared" si="69"/>
        <v>153</v>
      </c>
      <c r="C205" s="294">
        <f t="shared" si="70"/>
        <v>50679</v>
      </c>
      <c r="D205" s="295">
        <f t="shared" si="65"/>
        <v>3945772.5204214808</v>
      </c>
      <c r="E205" s="295">
        <f t="shared" si="66"/>
        <v>-30010.234142609712</v>
      </c>
      <c r="F205" s="295">
        <f t="shared" si="57"/>
        <v>-11103.407482256793</v>
      </c>
      <c r="G205" s="295">
        <f t="shared" si="58"/>
        <v>-18906.826660352915</v>
      </c>
      <c r="H205" s="298">
        <f t="shared" si="59"/>
        <v>3934669.1129392241</v>
      </c>
      <c r="J205" s="292">
        <f t="shared" si="79"/>
        <v>13</v>
      </c>
      <c r="K205" s="293">
        <f t="shared" si="71"/>
        <v>153</v>
      </c>
      <c r="L205" s="294">
        <f t="shared" si="72"/>
        <v>4628</v>
      </c>
      <c r="M205" s="295">
        <f t="shared" si="67"/>
        <v>0</v>
      </c>
      <c r="N205" s="295" t="e">
        <f t="shared" si="68"/>
        <v>#NUM!</v>
      </c>
      <c r="O205" s="295">
        <f t="shared" si="60"/>
        <v>0</v>
      </c>
      <c r="P205" s="295">
        <f t="shared" si="61"/>
        <v>0</v>
      </c>
      <c r="Q205" s="298">
        <f t="shared" si="62"/>
        <v>0</v>
      </c>
      <c r="S205" s="292">
        <f t="shared" si="80"/>
        <v>13</v>
      </c>
      <c r="T205" s="293">
        <f t="shared" si="73"/>
        <v>153</v>
      </c>
      <c r="U205" s="294">
        <f t="shared" si="74"/>
        <v>4628</v>
      </c>
      <c r="V205" s="295">
        <f t="shared" si="75"/>
        <v>0</v>
      </c>
      <c r="W205" s="290" t="e">
        <f t="shared" si="76"/>
        <v>#NUM!</v>
      </c>
      <c r="X205" s="295">
        <f t="shared" si="63"/>
        <v>0</v>
      </c>
      <c r="Y205" s="295" t="e">
        <f t="shared" si="64"/>
        <v>#NUM!</v>
      </c>
      <c r="Z205" s="295">
        <f t="shared" si="77"/>
        <v>0</v>
      </c>
      <c r="AA205" s="298"/>
      <c r="AC205"/>
      <c r="AD205"/>
      <c r="AE205"/>
      <c r="AF205"/>
      <c r="AG205"/>
      <c r="AH205"/>
      <c r="AI205"/>
      <c r="AJ205"/>
    </row>
    <row r="206" spans="1:36" hidden="1">
      <c r="A206" s="287">
        <f t="shared" si="78"/>
        <v>13</v>
      </c>
      <c r="B206" s="288">
        <f t="shared" si="69"/>
        <v>154</v>
      </c>
      <c r="C206" s="289">
        <f t="shared" si="70"/>
        <v>50710</v>
      </c>
      <c r="D206" s="290">
        <f t="shared" si="65"/>
        <v>3934669.1129392241</v>
      </c>
      <c r="E206" s="290">
        <f t="shared" si="66"/>
        <v>-30010.234142609712</v>
      </c>
      <c r="F206" s="290">
        <f t="shared" si="57"/>
        <v>-11156.611309775943</v>
      </c>
      <c r="G206" s="290">
        <f t="shared" si="58"/>
        <v>-18853.622832833775</v>
      </c>
      <c r="H206" s="291">
        <f t="shared" si="59"/>
        <v>3923512.501629448</v>
      </c>
      <c r="J206" s="287">
        <f t="shared" si="79"/>
        <v>13</v>
      </c>
      <c r="K206" s="288">
        <f t="shared" si="71"/>
        <v>154</v>
      </c>
      <c r="L206" s="289">
        <f t="shared" si="72"/>
        <v>4658</v>
      </c>
      <c r="M206" s="290">
        <f t="shared" si="67"/>
        <v>0</v>
      </c>
      <c r="N206" s="290" t="e">
        <f t="shared" si="68"/>
        <v>#NUM!</v>
      </c>
      <c r="O206" s="290">
        <f t="shared" si="60"/>
        <v>0</v>
      </c>
      <c r="P206" s="290">
        <f t="shared" si="61"/>
        <v>0</v>
      </c>
      <c r="Q206" s="291">
        <f t="shared" si="62"/>
        <v>0</v>
      </c>
      <c r="S206" s="287">
        <f t="shared" si="80"/>
        <v>13</v>
      </c>
      <c r="T206" s="288">
        <f t="shared" si="73"/>
        <v>154</v>
      </c>
      <c r="U206" s="289">
        <f t="shared" si="74"/>
        <v>4658</v>
      </c>
      <c r="V206" s="290">
        <f t="shared" si="75"/>
        <v>0</v>
      </c>
      <c r="W206" s="290" t="e">
        <f t="shared" si="76"/>
        <v>#NUM!</v>
      </c>
      <c r="X206" s="290">
        <f t="shared" si="63"/>
        <v>0</v>
      </c>
      <c r="Y206" s="290" t="e">
        <f t="shared" si="64"/>
        <v>#NUM!</v>
      </c>
      <c r="Z206" s="290">
        <f t="shared" si="77"/>
        <v>0</v>
      </c>
      <c r="AA206" s="291"/>
      <c r="AC206"/>
      <c r="AD206"/>
      <c r="AE206"/>
      <c r="AF206"/>
      <c r="AG206"/>
      <c r="AH206"/>
      <c r="AI206"/>
      <c r="AJ206"/>
    </row>
    <row r="207" spans="1:36" hidden="1">
      <c r="A207" s="292">
        <f t="shared" si="78"/>
        <v>13</v>
      </c>
      <c r="B207" s="293">
        <f t="shared" si="69"/>
        <v>155</v>
      </c>
      <c r="C207" s="294">
        <f t="shared" si="70"/>
        <v>50740</v>
      </c>
      <c r="D207" s="295">
        <f t="shared" si="65"/>
        <v>3923512.501629448</v>
      </c>
      <c r="E207" s="295">
        <f t="shared" si="66"/>
        <v>-30010.234142609712</v>
      </c>
      <c r="F207" s="295">
        <f t="shared" si="57"/>
        <v>-11210.070072301953</v>
      </c>
      <c r="G207" s="295">
        <f t="shared" si="58"/>
        <v>-18800.164070307761</v>
      </c>
      <c r="H207" s="296">
        <f t="shared" si="59"/>
        <v>3912302.4315571459</v>
      </c>
      <c r="J207" s="292">
        <f t="shared" si="79"/>
        <v>13</v>
      </c>
      <c r="K207" s="293">
        <f t="shared" si="71"/>
        <v>155</v>
      </c>
      <c r="L207" s="294">
        <f t="shared" si="72"/>
        <v>4689</v>
      </c>
      <c r="M207" s="295">
        <f t="shared" si="67"/>
        <v>0</v>
      </c>
      <c r="N207" s="295" t="e">
        <f t="shared" si="68"/>
        <v>#NUM!</v>
      </c>
      <c r="O207" s="295">
        <f t="shared" si="60"/>
        <v>0</v>
      </c>
      <c r="P207" s="295">
        <f t="shared" si="61"/>
        <v>0</v>
      </c>
      <c r="Q207" s="296">
        <f t="shared" si="62"/>
        <v>0</v>
      </c>
      <c r="S207" s="292">
        <f t="shared" si="80"/>
        <v>13</v>
      </c>
      <c r="T207" s="293">
        <f t="shared" si="73"/>
        <v>155</v>
      </c>
      <c r="U207" s="294">
        <f t="shared" si="74"/>
        <v>4689</v>
      </c>
      <c r="V207" s="295">
        <f t="shared" si="75"/>
        <v>0</v>
      </c>
      <c r="W207" s="290" t="e">
        <f t="shared" si="76"/>
        <v>#NUM!</v>
      </c>
      <c r="X207" s="295">
        <f t="shared" si="63"/>
        <v>0</v>
      </c>
      <c r="Y207" s="295" t="e">
        <f t="shared" si="64"/>
        <v>#NUM!</v>
      </c>
      <c r="Z207" s="295">
        <f t="shared" si="77"/>
        <v>0</v>
      </c>
      <c r="AA207" s="296"/>
      <c r="AC207"/>
      <c r="AD207"/>
      <c r="AE207"/>
      <c r="AF207"/>
      <c r="AG207"/>
      <c r="AH207"/>
      <c r="AI207"/>
      <c r="AJ207"/>
    </row>
    <row r="208" spans="1:36" hidden="1">
      <c r="A208" s="287">
        <f t="shared" si="78"/>
        <v>13</v>
      </c>
      <c r="B208" s="288">
        <f t="shared" si="69"/>
        <v>156</v>
      </c>
      <c r="C208" s="289">
        <f t="shared" si="70"/>
        <v>50771</v>
      </c>
      <c r="D208" s="290">
        <f t="shared" si="65"/>
        <v>3912302.4315571459</v>
      </c>
      <c r="E208" s="290">
        <f t="shared" si="66"/>
        <v>-30010.234142609712</v>
      </c>
      <c r="F208" s="290">
        <f t="shared" si="57"/>
        <v>-11263.784991398397</v>
      </c>
      <c r="G208" s="290">
        <f t="shared" si="58"/>
        <v>-18746.449151211316</v>
      </c>
      <c r="H208" s="291">
        <f t="shared" si="59"/>
        <v>3901038.6465657474</v>
      </c>
      <c r="J208" s="287">
        <f t="shared" si="79"/>
        <v>13</v>
      </c>
      <c r="K208" s="288">
        <f t="shared" si="71"/>
        <v>156</v>
      </c>
      <c r="L208" s="289">
        <f t="shared" si="72"/>
        <v>4719</v>
      </c>
      <c r="M208" s="290">
        <f t="shared" si="67"/>
        <v>0</v>
      </c>
      <c r="N208" s="290" t="e">
        <f t="shared" si="68"/>
        <v>#NUM!</v>
      </c>
      <c r="O208" s="290">
        <f t="shared" si="60"/>
        <v>0</v>
      </c>
      <c r="P208" s="290">
        <f t="shared" si="61"/>
        <v>0</v>
      </c>
      <c r="Q208" s="291">
        <f t="shared" si="62"/>
        <v>0</v>
      </c>
      <c r="S208" s="287">
        <f t="shared" si="80"/>
        <v>13</v>
      </c>
      <c r="T208" s="288">
        <f t="shared" si="73"/>
        <v>156</v>
      </c>
      <c r="U208" s="289">
        <f t="shared" si="74"/>
        <v>4719</v>
      </c>
      <c r="V208" s="290">
        <f t="shared" si="75"/>
        <v>0</v>
      </c>
      <c r="W208" s="290" t="e">
        <f t="shared" si="76"/>
        <v>#NUM!</v>
      </c>
      <c r="X208" s="290">
        <f t="shared" si="63"/>
        <v>0</v>
      </c>
      <c r="Y208" s="290" t="e">
        <f t="shared" si="64"/>
        <v>#NUM!</v>
      </c>
      <c r="Z208" s="290">
        <f t="shared" si="77"/>
        <v>0</v>
      </c>
      <c r="AA208" s="291"/>
      <c r="AC208"/>
      <c r="AD208"/>
      <c r="AE208"/>
      <c r="AF208"/>
      <c r="AG208"/>
      <c r="AH208"/>
      <c r="AI208"/>
      <c r="AJ208"/>
    </row>
    <row r="209" spans="1:36" hidden="1">
      <c r="A209" s="292">
        <f t="shared" si="78"/>
        <v>14</v>
      </c>
      <c r="B209" s="293">
        <f t="shared" si="69"/>
        <v>157</v>
      </c>
      <c r="C209" s="294">
        <f t="shared" si="70"/>
        <v>50802</v>
      </c>
      <c r="D209" s="295">
        <f t="shared" si="65"/>
        <v>3901038.6465657474</v>
      </c>
      <c r="E209" s="295">
        <f t="shared" si="66"/>
        <v>-30010.234142609712</v>
      </c>
      <c r="F209" s="295">
        <f t="shared" si="57"/>
        <v>-11317.75729448218</v>
      </c>
      <c r="G209" s="295">
        <f t="shared" si="58"/>
        <v>-18692.476848127531</v>
      </c>
      <c r="H209" s="298">
        <f t="shared" si="59"/>
        <v>3889720.8892712654</v>
      </c>
      <c r="J209" s="292">
        <f t="shared" si="79"/>
        <v>14</v>
      </c>
      <c r="K209" s="293">
        <f t="shared" si="71"/>
        <v>157</v>
      </c>
      <c r="L209" s="294">
        <f t="shared" si="72"/>
        <v>4750</v>
      </c>
      <c r="M209" s="295">
        <f t="shared" si="67"/>
        <v>0</v>
      </c>
      <c r="N209" s="295" t="e">
        <f t="shared" si="68"/>
        <v>#NUM!</v>
      </c>
      <c r="O209" s="295">
        <f t="shared" si="60"/>
        <v>0</v>
      </c>
      <c r="P209" s="295">
        <f t="shared" si="61"/>
        <v>0</v>
      </c>
      <c r="Q209" s="298">
        <f t="shared" si="62"/>
        <v>0</v>
      </c>
      <c r="S209" s="292">
        <f t="shared" si="80"/>
        <v>14</v>
      </c>
      <c r="T209" s="293">
        <f t="shared" si="73"/>
        <v>157</v>
      </c>
      <c r="U209" s="294">
        <f t="shared" si="74"/>
        <v>4750</v>
      </c>
      <c r="V209" s="295">
        <f t="shared" si="75"/>
        <v>0</v>
      </c>
      <c r="W209" s="290" t="e">
        <f t="shared" si="76"/>
        <v>#NUM!</v>
      </c>
      <c r="X209" s="295">
        <f t="shared" si="63"/>
        <v>0</v>
      </c>
      <c r="Y209" s="295" t="e">
        <f t="shared" si="64"/>
        <v>#NUM!</v>
      </c>
      <c r="Z209" s="295">
        <f t="shared" si="77"/>
        <v>0</v>
      </c>
      <c r="AA209" s="298"/>
      <c r="AC209"/>
      <c r="AD209"/>
      <c r="AE209"/>
      <c r="AF209"/>
      <c r="AG209"/>
      <c r="AH209"/>
      <c r="AI209"/>
      <c r="AJ209"/>
    </row>
    <row r="210" spans="1:36" hidden="1">
      <c r="A210" s="287">
        <f t="shared" si="78"/>
        <v>14</v>
      </c>
      <c r="B210" s="288">
        <f t="shared" si="69"/>
        <v>158</v>
      </c>
      <c r="C210" s="289">
        <f t="shared" si="70"/>
        <v>50830</v>
      </c>
      <c r="D210" s="290">
        <f t="shared" si="65"/>
        <v>3889720.8892712654</v>
      </c>
      <c r="E210" s="290">
        <f t="shared" si="66"/>
        <v>-30010.234142609712</v>
      </c>
      <c r="F210" s="290">
        <f t="shared" si="57"/>
        <v>-11371.988214851575</v>
      </c>
      <c r="G210" s="290">
        <f t="shared" si="58"/>
        <v>-18638.245927758137</v>
      </c>
      <c r="H210" s="291">
        <f t="shared" si="59"/>
        <v>3878348.901056414</v>
      </c>
      <c r="J210" s="287">
        <f t="shared" si="79"/>
        <v>14</v>
      </c>
      <c r="K210" s="288">
        <f t="shared" si="71"/>
        <v>158</v>
      </c>
      <c r="L210" s="289">
        <f t="shared" si="72"/>
        <v>4781</v>
      </c>
      <c r="M210" s="290">
        <f t="shared" si="67"/>
        <v>0</v>
      </c>
      <c r="N210" s="290" t="e">
        <f t="shared" si="68"/>
        <v>#NUM!</v>
      </c>
      <c r="O210" s="290">
        <f t="shared" si="60"/>
        <v>0</v>
      </c>
      <c r="P210" s="290">
        <f t="shared" si="61"/>
        <v>0</v>
      </c>
      <c r="Q210" s="291">
        <f t="shared" si="62"/>
        <v>0</v>
      </c>
      <c r="S210" s="287">
        <f t="shared" si="80"/>
        <v>14</v>
      </c>
      <c r="T210" s="288">
        <f t="shared" si="73"/>
        <v>158</v>
      </c>
      <c r="U210" s="289">
        <f t="shared" si="74"/>
        <v>4781</v>
      </c>
      <c r="V210" s="290">
        <f t="shared" si="75"/>
        <v>0</v>
      </c>
      <c r="W210" s="290" t="e">
        <f t="shared" si="76"/>
        <v>#NUM!</v>
      </c>
      <c r="X210" s="290">
        <f t="shared" si="63"/>
        <v>0</v>
      </c>
      <c r="Y210" s="290" t="e">
        <f t="shared" si="64"/>
        <v>#NUM!</v>
      </c>
      <c r="Z210" s="290">
        <f t="shared" si="77"/>
        <v>0</v>
      </c>
      <c r="AA210" s="291"/>
      <c r="AC210"/>
      <c r="AD210"/>
      <c r="AE210"/>
      <c r="AF210"/>
      <c r="AG210"/>
      <c r="AH210"/>
      <c r="AI210"/>
      <c r="AJ210"/>
    </row>
    <row r="211" spans="1:36" hidden="1">
      <c r="A211" s="292">
        <f t="shared" si="78"/>
        <v>14</v>
      </c>
      <c r="B211" s="293">
        <f t="shared" si="69"/>
        <v>159</v>
      </c>
      <c r="C211" s="294">
        <f t="shared" si="70"/>
        <v>50861</v>
      </c>
      <c r="D211" s="295">
        <f t="shared" si="65"/>
        <v>3878348.901056414</v>
      </c>
      <c r="E211" s="295">
        <f t="shared" si="66"/>
        <v>-30010.234142609712</v>
      </c>
      <c r="F211" s="295">
        <f t="shared" si="57"/>
        <v>-11426.478991714408</v>
      </c>
      <c r="G211" s="295">
        <f t="shared" si="58"/>
        <v>-18583.755150895307</v>
      </c>
      <c r="H211" s="296">
        <f t="shared" si="59"/>
        <v>3866922.4220646997</v>
      </c>
      <c r="J211" s="292">
        <f t="shared" si="79"/>
        <v>14</v>
      </c>
      <c r="K211" s="293">
        <f t="shared" si="71"/>
        <v>159</v>
      </c>
      <c r="L211" s="294">
        <f t="shared" si="72"/>
        <v>4809</v>
      </c>
      <c r="M211" s="295">
        <f t="shared" si="67"/>
        <v>0</v>
      </c>
      <c r="N211" s="295" t="e">
        <f t="shared" si="68"/>
        <v>#NUM!</v>
      </c>
      <c r="O211" s="295">
        <f t="shared" si="60"/>
        <v>0</v>
      </c>
      <c r="P211" s="295">
        <f t="shared" si="61"/>
        <v>0</v>
      </c>
      <c r="Q211" s="296">
        <f t="shared" si="62"/>
        <v>0</v>
      </c>
      <c r="S211" s="292">
        <f t="shared" si="80"/>
        <v>14</v>
      </c>
      <c r="T211" s="293">
        <f t="shared" si="73"/>
        <v>159</v>
      </c>
      <c r="U211" s="294">
        <f t="shared" si="74"/>
        <v>4809</v>
      </c>
      <c r="V211" s="295">
        <f t="shared" si="75"/>
        <v>0</v>
      </c>
      <c r="W211" s="290" t="e">
        <f t="shared" si="76"/>
        <v>#NUM!</v>
      </c>
      <c r="X211" s="295">
        <f t="shared" si="63"/>
        <v>0</v>
      </c>
      <c r="Y211" s="295" t="e">
        <f t="shared" si="64"/>
        <v>#NUM!</v>
      </c>
      <c r="Z211" s="295">
        <f t="shared" si="77"/>
        <v>0</v>
      </c>
      <c r="AA211" s="296"/>
      <c r="AC211"/>
      <c r="AD211"/>
      <c r="AE211"/>
      <c r="AF211"/>
      <c r="AG211"/>
      <c r="AH211"/>
      <c r="AI211"/>
      <c r="AJ211"/>
    </row>
    <row r="212" spans="1:36" hidden="1">
      <c r="A212" s="287">
        <f t="shared" si="78"/>
        <v>14</v>
      </c>
      <c r="B212" s="288">
        <f t="shared" si="69"/>
        <v>160</v>
      </c>
      <c r="C212" s="289">
        <f t="shared" si="70"/>
        <v>50891</v>
      </c>
      <c r="D212" s="290">
        <f t="shared" si="65"/>
        <v>3866922.4220646997</v>
      </c>
      <c r="E212" s="290">
        <f t="shared" si="66"/>
        <v>-30010.234142609712</v>
      </c>
      <c r="F212" s="290">
        <f t="shared" si="57"/>
        <v>-11481.23087021637</v>
      </c>
      <c r="G212" s="290">
        <f t="shared" si="58"/>
        <v>-18529.003272393344</v>
      </c>
      <c r="H212" s="291">
        <f t="shared" si="59"/>
        <v>3855441.1911944835</v>
      </c>
      <c r="J212" s="287">
        <f t="shared" si="79"/>
        <v>14</v>
      </c>
      <c r="K212" s="288">
        <f t="shared" si="71"/>
        <v>160</v>
      </c>
      <c r="L212" s="289">
        <f t="shared" si="72"/>
        <v>4840</v>
      </c>
      <c r="M212" s="290">
        <f t="shared" si="67"/>
        <v>0</v>
      </c>
      <c r="N212" s="290" t="e">
        <f t="shared" si="68"/>
        <v>#NUM!</v>
      </c>
      <c r="O212" s="290">
        <f t="shared" si="60"/>
        <v>0</v>
      </c>
      <c r="P212" s="290">
        <f t="shared" si="61"/>
        <v>0</v>
      </c>
      <c r="Q212" s="291">
        <f t="shared" si="62"/>
        <v>0</v>
      </c>
      <c r="S212" s="287">
        <f t="shared" si="80"/>
        <v>14</v>
      </c>
      <c r="T212" s="288">
        <f t="shared" si="73"/>
        <v>160</v>
      </c>
      <c r="U212" s="289">
        <f t="shared" si="74"/>
        <v>4840</v>
      </c>
      <c r="V212" s="290">
        <f t="shared" si="75"/>
        <v>0</v>
      </c>
      <c r="W212" s="290" t="e">
        <f t="shared" si="76"/>
        <v>#NUM!</v>
      </c>
      <c r="X212" s="290">
        <f t="shared" si="63"/>
        <v>0</v>
      </c>
      <c r="Y212" s="290" t="e">
        <f t="shared" si="64"/>
        <v>#NUM!</v>
      </c>
      <c r="Z212" s="290">
        <f t="shared" si="77"/>
        <v>0</v>
      </c>
      <c r="AA212" s="291"/>
      <c r="AC212"/>
      <c r="AD212"/>
      <c r="AE212"/>
      <c r="AF212"/>
      <c r="AG212"/>
      <c r="AH212"/>
      <c r="AI212"/>
      <c r="AJ212"/>
    </row>
    <row r="213" spans="1:36" hidden="1">
      <c r="A213" s="292">
        <f t="shared" si="78"/>
        <v>14</v>
      </c>
      <c r="B213" s="293">
        <f t="shared" si="69"/>
        <v>161</v>
      </c>
      <c r="C213" s="294">
        <f t="shared" si="70"/>
        <v>50922</v>
      </c>
      <c r="D213" s="295">
        <f t="shared" si="65"/>
        <v>3855441.1911944835</v>
      </c>
      <c r="E213" s="295">
        <f t="shared" si="66"/>
        <v>-30010.234142609712</v>
      </c>
      <c r="F213" s="295">
        <f t="shared" si="57"/>
        <v>-11536.245101469491</v>
      </c>
      <c r="G213" s="295">
        <f t="shared" si="58"/>
        <v>-18473.989041140223</v>
      </c>
      <c r="H213" s="298">
        <f t="shared" si="59"/>
        <v>3843904.946093014</v>
      </c>
      <c r="J213" s="292">
        <f t="shared" si="79"/>
        <v>14</v>
      </c>
      <c r="K213" s="293">
        <f t="shared" si="71"/>
        <v>161</v>
      </c>
      <c r="L213" s="294">
        <f t="shared" si="72"/>
        <v>4870</v>
      </c>
      <c r="M213" s="295">
        <f t="shared" si="67"/>
        <v>0</v>
      </c>
      <c r="N213" s="295" t="e">
        <f t="shared" si="68"/>
        <v>#NUM!</v>
      </c>
      <c r="O213" s="295">
        <f t="shared" si="60"/>
        <v>0</v>
      </c>
      <c r="P213" s="295">
        <f t="shared" si="61"/>
        <v>0</v>
      </c>
      <c r="Q213" s="298">
        <f t="shared" si="62"/>
        <v>0</v>
      </c>
      <c r="S213" s="292">
        <f t="shared" si="80"/>
        <v>14</v>
      </c>
      <c r="T213" s="293">
        <f t="shared" si="73"/>
        <v>161</v>
      </c>
      <c r="U213" s="294">
        <f t="shared" si="74"/>
        <v>4870</v>
      </c>
      <c r="V213" s="295">
        <f t="shared" si="75"/>
        <v>0</v>
      </c>
      <c r="W213" s="290" t="e">
        <f t="shared" si="76"/>
        <v>#NUM!</v>
      </c>
      <c r="X213" s="295">
        <f t="shared" si="63"/>
        <v>0</v>
      </c>
      <c r="Y213" s="295" t="e">
        <f t="shared" si="64"/>
        <v>#NUM!</v>
      </c>
      <c r="Z213" s="295">
        <f t="shared" si="77"/>
        <v>0</v>
      </c>
      <c r="AA213" s="298"/>
      <c r="AC213"/>
      <c r="AD213"/>
      <c r="AE213"/>
      <c r="AF213"/>
      <c r="AG213"/>
      <c r="AH213"/>
      <c r="AI213"/>
      <c r="AJ213"/>
    </row>
    <row r="214" spans="1:36" hidden="1">
      <c r="A214" s="287">
        <f t="shared" si="78"/>
        <v>14</v>
      </c>
      <c r="B214" s="288">
        <f t="shared" si="69"/>
        <v>162</v>
      </c>
      <c r="C214" s="289">
        <f t="shared" si="70"/>
        <v>50952</v>
      </c>
      <c r="D214" s="290">
        <f t="shared" si="65"/>
        <v>3843904.946093014</v>
      </c>
      <c r="E214" s="290">
        <f t="shared" si="66"/>
        <v>-30010.234142609712</v>
      </c>
      <c r="F214" s="290">
        <f t="shared" si="57"/>
        <v>-11591.522942580699</v>
      </c>
      <c r="G214" s="290">
        <f t="shared" si="58"/>
        <v>-18418.711200029014</v>
      </c>
      <c r="H214" s="291">
        <f t="shared" si="59"/>
        <v>3832313.4231504332</v>
      </c>
      <c r="J214" s="287">
        <f t="shared" si="79"/>
        <v>14</v>
      </c>
      <c r="K214" s="288">
        <f t="shared" si="71"/>
        <v>162</v>
      </c>
      <c r="L214" s="289">
        <f t="shared" si="72"/>
        <v>4901</v>
      </c>
      <c r="M214" s="290">
        <f t="shared" si="67"/>
        <v>0</v>
      </c>
      <c r="N214" s="290" t="e">
        <f t="shared" si="68"/>
        <v>#NUM!</v>
      </c>
      <c r="O214" s="290">
        <f t="shared" si="60"/>
        <v>0</v>
      </c>
      <c r="P214" s="290">
        <f t="shared" si="61"/>
        <v>0</v>
      </c>
      <c r="Q214" s="291">
        <f t="shared" si="62"/>
        <v>0</v>
      </c>
      <c r="S214" s="287">
        <f t="shared" si="80"/>
        <v>14</v>
      </c>
      <c r="T214" s="288">
        <f t="shared" si="73"/>
        <v>162</v>
      </c>
      <c r="U214" s="289">
        <f t="shared" si="74"/>
        <v>4901</v>
      </c>
      <c r="V214" s="290">
        <f t="shared" si="75"/>
        <v>0</v>
      </c>
      <c r="W214" s="290" t="e">
        <f t="shared" si="76"/>
        <v>#NUM!</v>
      </c>
      <c r="X214" s="290">
        <f t="shared" si="63"/>
        <v>0</v>
      </c>
      <c r="Y214" s="290" t="e">
        <f t="shared" si="64"/>
        <v>#NUM!</v>
      </c>
      <c r="Z214" s="290">
        <f t="shared" si="77"/>
        <v>0</v>
      </c>
      <c r="AA214" s="291"/>
      <c r="AC214"/>
      <c r="AD214"/>
      <c r="AE214"/>
      <c r="AF214"/>
      <c r="AG214"/>
      <c r="AH214"/>
      <c r="AI214"/>
      <c r="AJ214"/>
    </row>
    <row r="215" spans="1:36" hidden="1">
      <c r="A215" s="292">
        <f t="shared" si="78"/>
        <v>14</v>
      </c>
      <c r="B215" s="293">
        <f t="shared" si="69"/>
        <v>163</v>
      </c>
      <c r="C215" s="294">
        <f t="shared" si="70"/>
        <v>50983</v>
      </c>
      <c r="D215" s="295">
        <f t="shared" si="65"/>
        <v>3832313.4231504332</v>
      </c>
      <c r="E215" s="295">
        <f t="shared" si="66"/>
        <v>-30010.234142609712</v>
      </c>
      <c r="F215" s="295">
        <f t="shared" si="57"/>
        <v>-11647.065656680565</v>
      </c>
      <c r="G215" s="295">
        <f t="shared" si="58"/>
        <v>-18363.168485929149</v>
      </c>
      <c r="H215" s="296">
        <f t="shared" si="59"/>
        <v>3820666.3574937526</v>
      </c>
      <c r="J215" s="292">
        <f t="shared" si="79"/>
        <v>14</v>
      </c>
      <c r="K215" s="293">
        <f t="shared" si="71"/>
        <v>163</v>
      </c>
      <c r="L215" s="294">
        <f t="shared" si="72"/>
        <v>4931</v>
      </c>
      <c r="M215" s="295">
        <f t="shared" si="67"/>
        <v>0</v>
      </c>
      <c r="N215" s="295" t="e">
        <f t="shared" si="68"/>
        <v>#NUM!</v>
      </c>
      <c r="O215" s="295">
        <f t="shared" si="60"/>
        <v>0</v>
      </c>
      <c r="P215" s="295">
        <f t="shared" si="61"/>
        <v>0</v>
      </c>
      <c r="Q215" s="296">
        <f t="shared" si="62"/>
        <v>0</v>
      </c>
      <c r="S215" s="292">
        <f t="shared" si="80"/>
        <v>14</v>
      </c>
      <c r="T215" s="293">
        <f t="shared" si="73"/>
        <v>163</v>
      </c>
      <c r="U215" s="294">
        <f t="shared" si="74"/>
        <v>4931</v>
      </c>
      <c r="V215" s="295">
        <f t="shared" si="75"/>
        <v>0</v>
      </c>
      <c r="W215" s="290" t="e">
        <f t="shared" si="76"/>
        <v>#NUM!</v>
      </c>
      <c r="X215" s="295">
        <f t="shared" si="63"/>
        <v>0</v>
      </c>
      <c r="Y215" s="295" t="e">
        <f t="shared" si="64"/>
        <v>#NUM!</v>
      </c>
      <c r="Z215" s="295">
        <f t="shared" si="77"/>
        <v>0</v>
      </c>
      <c r="AA215" s="296"/>
      <c r="AC215"/>
      <c r="AD215"/>
      <c r="AE215"/>
      <c r="AF215"/>
      <c r="AG215"/>
      <c r="AH215"/>
      <c r="AI215"/>
      <c r="AJ215"/>
    </row>
    <row r="216" spans="1:36" hidden="1">
      <c r="A216" s="287">
        <f t="shared" si="78"/>
        <v>14</v>
      </c>
      <c r="B216" s="288">
        <f t="shared" si="69"/>
        <v>164</v>
      </c>
      <c r="C216" s="289">
        <f t="shared" si="70"/>
        <v>51014</v>
      </c>
      <c r="D216" s="290">
        <f t="shared" si="65"/>
        <v>3820666.3574937526</v>
      </c>
      <c r="E216" s="290">
        <f t="shared" si="66"/>
        <v>-30010.234142609712</v>
      </c>
      <c r="F216" s="290">
        <f t="shared" si="57"/>
        <v>-11702.874512952159</v>
      </c>
      <c r="G216" s="290">
        <f t="shared" si="58"/>
        <v>-18307.359629657552</v>
      </c>
      <c r="H216" s="291">
        <f t="shared" si="59"/>
        <v>3808963.4829808003</v>
      </c>
      <c r="J216" s="287">
        <f t="shared" si="79"/>
        <v>14</v>
      </c>
      <c r="K216" s="288">
        <f t="shared" si="71"/>
        <v>164</v>
      </c>
      <c r="L216" s="289">
        <f t="shared" si="72"/>
        <v>4962</v>
      </c>
      <c r="M216" s="290">
        <f t="shared" si="67"/>
        <v>0</v>
      </c>
      <c r="N216" s="290" t="e">
        <f t="shared" si="68"/>
        <v>#NUM!</v>
      </c>
      <c r="O216" s="290">
        <f t="shared" si="60"/>
        <v>0</v>
      </c>
      <c r="P216" s="290">
        <f t="shared" si="61"/>
        <v>0</v>
      </c>
      <c r="Q216" s="291">
        <f t="shared" si="62"/>
        <v>0</v>
      </c>
      <c r="S216" s="287">
        <f t="shared" si="80"/>
        <v>14</v>
      </c>
      <c r="T216" s="288">
        <f t="shared" si="73"/>
        <v>164</v>
      </c>
      <c r="U216" s="289">
        <f t="shared" si="74"/>
        <v>4962</v>
      </c>
      <c r="V216" s="290">
        <f t="shared" si="75"/>
        <v>0</v>
      </c>
      <c r="W216" s="290" t="e">
        <f t="shared" si="76"/>
        <v>#NUM!</v>
      </c>
      <c r="X216" s="290">
        <f t="shared" si="63"/>
        <v>0</v>
      </c>
      <c r="Y216" s="290" t="e">
        <f t="shared" si="64"/>
        <v>#NUM!</v>
      </c>
      <c r="Z216" s="290">
        <f t="shared" si="77"/>
        <v>0</v>
      </c>
      <c r="AA216" s="291"/>
      <c r="AC216"/>
      <c r="AD216"/>
      <c r="AE216"/>
      <c r="AF216"/>
      <c r="AG216"/>
      <c r="AH216"/>
      <c r="AI216"/>
      <c r="AJ216"/>
    </row>
    <row r="217" spans="1:36" hidden="1">
      <c r="A217" s="292">
        <f t="shared" si="78"/>
        <v>14</v>
      </c>
      <c r="B217" s="293">
        <f t="shared" si="69"/>
        <v>165</v>
      </c>
      <c r="C217" s="294">
        <f t="shared" si="70"/>
        <v>51044</v>
      </c>
      <c r="D217" s="295">
        <f t="shared" si="65"/>
        <v>3808963.4829808003</v>
      </c>
      <c r="E217" s="295">
        <f t="shared" si="66"/>
        <v>-30010.234142609712</v>
      </c>
      <c r="F217" s="295">
        <f t="shared" si="57"/>
        <v>-11758.950786660054</v>
      </c>
      <c r="G217" s="295">
        <f t="shared" si="58"/>
        <v>-18251.283355949661</v>
      </c>
      <c r="H217" s="298">
        <f t="shared" si="59"/>
        <v>3797204.5321941404</v>
      </c>
      <c r="J217" s="292">
        <f t="shared" si="79"/>
        <v>14</v>
      </c>
      <c r="K217" s="293">
        <f t="shared" si="71"/>
        <v>165</v>
      </c>
      <c r="L217" s="294">
        <f t="shared" si="72"/>
        <v>4993</v>
      </c>
      <c r="M217" s="295">
        <f t="shared" si="67"/>
        <v>0</v>
      </c>
      <c r="N217" s="295" t="e">
        <f t="shared" si="68"/>
        <v>#NUM!</v>
      </c>
      <c r="O217" s="295">
        <f t="shared" si="60"/>
        <v>0</v>
      </c>
      <c r="P217" s="295">
        <f t="shared" si="61"/>
        <v>0</v>
      </c>
      <c r="Q217" s="298">
        <f t="shared" si="62"/>
        <v>0</v>
      </c>
      <c r="S217" s="292">
        <f t="shared" si="80"/>
        <v>14</v>
      </c>
      <c r="T217" s="293">
        <f t="shared" si="73"/>
        <v>165</v>
      </c>
      <c r="U217" s="294">
        <f t="shared" si="74"/>
        <v>4993</v>
      </c>
      <c r="V217" s="295">
        <f t="shared" si="75"/>
        <v>0</v>
      </c>
      <c r="W217" s="290" t="e">
        <f t="shared" si="76"/>
        <v>#NUM!</v>
      </c>
      <c r="X217" s="295">
        <f t="shared" si="63"/>
        <v>0</v>
      </c>
      <c r="Y217" s="295" t="e">
        <f t="shared" si="64"/>
        <v>#NUM!</v>
      </c>
      <c r="Z217" s="295">
        <f t="shared" si="77"/>
        <v>0</v>
      </c>
      <c r="AA217" s="298"/>
      <c r="AC217"/>
      <c r="AD217"/>
      <c r="AE217"/>
      <c r="AF217"/>
      <c r="AG217"/>
      <c r="AH217"/>
      <c r="AI217"/>
      <c r="AJ217"/>
    </row>
    <row r="218" spans="1:36" hidden="1">
      <c r="A218" s="287">
        <f t="shared" si="78"/>
        <v>14</v>
      </c>
      <c r="B218" s="288">
        <f t="shared" si="69"/>
        <v>166</v>
      </c>
      <c r="C218" s="289">
        <f t="shared" si="70"/>
        <v>51075</v>
      </c>
      <c r="D218" s="290">
        <f t="shared" si="65"/>
        <v>3797204.5321941404</v>
      </c>
      <c r="E218" s="290">
        <f t="shared" si="66"/>
        <v>-30010.234142609712</v>
      </c>
      <c r="F218" s="290">
        <f t="shared" si="57"/>
        <v>-11815.295759179466</v>
      </c>
      <c r="G218" s="290">
        <f t="shared" si="58"/>
        <v>-18194.938383430246</v>
      </c>
      <c r="H218" s="291">
        <f t="shared" si="59"/>
        <v>3785389.2364349607</v>
      </c>
      <c r="J218" s="287">
        <f t="shared" si="79"/>
        <v>14</v>
      </c>
      <c r="K218" s="288">
        <f t="shared" si="71"/>
        <v>166</v>
      </c>
      <c r="L218" s="289">
        <f t="shared" si="72"/>
        <v>5023</v>
      </c>
      <c r="M218" s="290">
        <f t="shared" si="67"/>
        <v>0</v>
      </c>
      <c r="N218" s="290" t="e">
        <f t="shared" si="68"/>
        <v>#NUM!</v>
      </c>
      <c r="O218" s="290">
        <f t="shared" si="60"/>
        <v>0</v>
      </c>
      <c r="P218" s="290">
        <f t="shared" si="61"/>
        <v>0</v>
      </c>
      <c r="Q218" s="291">
        <f t="shared" si="62"/>
        <v>0</v>
      </c>
      <c r="S218" s="287">
        <f t="shared" si="80"/>
        <v>14</v>
      </c>
      <c r="T218" s="288">
        <f t="shared" si="73"/>
        <v>166</v>
      </c>
      <c r="U218" s="289">
        <f t="shared" si="74"/>
        <v>5023</v>
      </c>
      <c r="V218" s="290">
        <f t="shared" si="75"/>
        <v>0</v>
      </c>
      <c r="W218" s="290" t="e">
        <f t="shared" si="76"/>
        <v>#NUM!</v>
      </c>
      <c r="X218" s="290">
        <f t="shared" si="63"/>
        <v>0</v>
      </c>
      <c r="Y218" s="290" t="e">
        <f t="shared" si="64"/>
        <v>#NUM!</v>
      </c>
      <c r="Z218" s="290">
        <f t="shared" si="77"/>
        <v>0</v>
      </c>
      <c r="AA218" s="291"/>
      <c r="AC218"/>
      <c r="AD218"/>
      <c r="AE218"/>
      <c r="AF218"/>
      <c r="AG218"/>
      <c r="AH218"/>
      <c r="AI218"/>
      <c r="AJ218"/>
    </row>
    <row r="219" spans="1:36" hidden="1">
      <c r="A219" s="292">
        <f t="shared" si="78"/>
        <v>14</v>
      </c>
      <c r="B219" s="293">
        <f t="shared" si="69"/>
        <v>167</v>
      </c>
      <c r="C219" s="294">
        <f t="shared" si="70"/>
        <v>51105</v>
      </c>
      <c r="D219" s="295">
        <f t="shared" si="65"/>
        <v>3785389.2364349607</v>
      </c>
      <c r="E219" s="295">
        <f t="shared" si="66"/>
        <v>-30010.234142609712</v>
      </c>
      <c r="F219" s="295">
        <f t="shared" si="57"/>
        <v>-11871.910718025536</v>
      </c>
      <c r="G219" s="295">
        <f t="shared" si="58"/>
        <v>-18138.323424584178</v>
      </c>
      <c r="H219" s="296">
        <f t="shared" si="59"/>
        <v>3773517.3257169351</v>
      </c>
      <c r="J219" s="292">
        <f t="shared" si="79"/>
        <v>14</v>
      </c>
      <c r="K219" s="293">
        <f t="shared" si="71"/>
        <v>167</v>
      </c>
      <c r="L219" s="294">
        <f t="shared" si="72"/>
        <v>5054</v>
      </c>
      <c r="M219" s="295">
        <f t="shared" si="67"/>
        <v>0</v>
      </c>
      <c r="N219" s="295" t="e">
        <f t="shared" si="68"/>
        <v>#NUM!</v>
      </c>
      <c r="O219" s="295">
        <f t="shared" si="60"/>
        <v>0</v>
      </c>
      <c r="P219" s="295">
        <f t="shared" si="61"/>
        <v>0</v>
      </c>
      <c r="Q219" s="296">
        <f t="shared" si="62"/>
        <v>0</v>
      </c>
      <c r="S219" s="292">
        <f t="shared" si="80"/>
        <v>14</v>
      </c>
      <c r="T219" s="293">
        <f t="shared" si="73"/>
        <v>167</v>
      </c>
      <c r="U219" s="294">
        <f t="shared" si="74"/>
        <v>5054</v>
      </c>
      <c r="V219" s="295">
        <f t="shared" si="75"/>
        <v>0</v>
      </c>
      <c r="W219" s="290" t="e">
        <f t="shared" si="76"/>
        <v>#NUM!</v>
      </c>
      <c r="X219" s="295">
        <f t="shared" si="63"/>
        <v>0</v>
      </c>
      <c r="Y219" s="295" t="e">
        <f t="shared" si="64"/>
        <v>#NUM!</v>
      </c>
      <c r="Z219" s="295">
        <f t="shared" si="77"/>
        <v>0</v>
      </c>
      <c r="AA219" s="296"/>
      <c r="AC219"/>
      <c r="AD219"/>
      <c r="AE219"/>
      <c r="AF219"/>
      <c r="AG219"/>
      <c r="AH219"/>
      <c r="AI219"/>
      <c r="AJ219"/>
    </row>
    <row r="220" spans="1:36" hidden="1">
      <c r="A220" s="287">
        <f t="shared" si="78"/>
        <v>14</v>
      </c>
      <c r="B220" s="288">
        <f t="shared" si="69"/>
        <v>168</v>
      </c>
      <c r="C220" s="289">
        <f t="shared" si="70"/>
        <v>51136</v>
      </c>
      <c r="D220" s="290">
        <f t="shared" si="65"/>
        <v>3773517.3257169351</v>
      </c>
      <c r="E220" s="290">
        <f t="shared" si="66"/>
        <v>-30010.234142609712</v>
      </c>
      <c r="F220" s="290">
        <f t="shared" si="57"/>
        <v>-11928.796956882741</v>
      </c>
      <c r="G220" s="290">
        <f t="shared" si="58"/>
        <v>-18081.437185726969</v>
      </c>
      <c r="H220" s="291">
        <f t="shared" si="59"/>
        <v>3761588.5287600523</v>
      </c>
      <c r="J220" s="287">
        <f t="shared" si="79"/>
        <v>14</v>
      </c>
      <c r="K220" s="288">
        <f t="shared" si="71"/>
        <v>168</v>
      </c>
      <c r="L220" s="289">
        <f t="shared" si="72"/>
        <v>5084</v>
      </c>
      <c r="M220" s="290">
        <f t="shared" si="67"/>
        <v>0</v>
      </c>
      <c r="N220" s="290" t="e">
        <f t="shared" si="68"/>
        <v>#NUM!</v>
      </c>
      <c r="O220" s="290">
        <f t="shared" si="60"/>
        <v>0</v>
      </c>
      <c r="P220" s="290">
        <f t="shared" si="61"/>
        <v>0</v>
      </c>
      <c r="Q220" s="291">
        <f t="shared" si="62"/>
        <v>0</v>
      </c>
      <c r="S220" s="287">
        <f t="shared" si="80"/>
        <v>14</v>
      </c>
      <c r="T220" s="288">
        <f t="shared" si="73"/>
        <v>168</v>
      </c>
      <c r="U220" s="289">
        <f t="shared" si="74"/>
        <v>5084</v>
      </c>
      <c r="V220" s="290">
        <f t="shared" si="75"/>
        <v>0</v>
      </c>
      <c r="W220" s="290" t="e">
        <f t="shared" si="76"/>
        <v>#NUM!</v>
      </c>
      <c r="X220" s="290">
        <f t="shared" si="63"/>
        <v>0</v>
      </c>
      <c r="Y220" s="290" t="e">
        <f t="shared" si="64"/>
        <v>#NUM!</v>
      </c>
      <c r="Z220" s="290">
        <f t="shared" si="77"/>
        <v>0</v>
      </c>
      <c r="AA220" s="291"/>
      <c r="AC220"/>
      <c r="AD220"/>
      <c r="AE220"/>
      <c r="AF220"/>
      <c r="AG220"/>
      <c r="AH220"/>
      <c r="AI220"/>
      <c r="AJ220"/>
    </row>
    <row r="221" spans="1:36" hidden="1">
      <c r="A221" s="292">
        <f t="shared" si="78"/>
        <v>15</v>
      </c>
      <c r="B221" s="293">
        <f t="shared" si="69"/>
        <v>169</v>
      </c>
      <c r="C221" s="294">
        <f t="shared" si="70"/>
        <v>51167</v>
      </c>
      <c r="D221" s="295">
        <f t="shared" si="65"/>
        <v>3761588.5287600523</v>
      </c>
      <c r="E221" s="295">
        <f t="shared" si="66"/>
        <v>-30010.234142609712</v>
      </c>
      <c r="F221" s="295">
        <f t="shared" si="57"/>
        <v>-11985.955775634471</v>
      </c>
      <c r="G221" s="295">
        <f t="shared" si="58"/>
        <v>-18024.278366975243</v>
      </c>
      <c r="H221" s="298">
        <f t="shared" si="59"/>
        <v>3749602.5729844179</v>
      </c>
      <c r="J221" s="292">
        <f t="shared" si="79"/>
        <v>15</v>
      </c>
      <c r="K221" s="293">
        <f t="shared" si="71"/>
        <v>169</v>
      </c>
      <c r="L221" s="294">
        <f t="shared" si="72"/>
        <v>5115</v>
      </c>
      <c r="M221" s="295">
        <f t="shared" si="67"/>
        <v>0</v>
      </c>
      <c r="N221" s="295" t="e">
        <f t="shared" si="68"/>
        <v>#NUM!</v>
      </c>
      <c r="O221" s="295">
        <f t="shared" si="60"/>
        <v>0</v>
      </c>
      <c r="P221" s="295">
        <f t="shared" si="61"/>
        <v>0</v>
      </c>
      <c r="Q221" s="298">
        <f t="shared" si="62"/>
        <v>0</v>
      </c>
      <c r="S221" s="292">
        <f t="shared" si="80"/>
        <v>15</v>
      </c>
      <c r="T221" s="293">
        <f t="shared" si="73"/>
        <v>169</v>
      </c>
      <c r="U221" s="294">
        <f t="shared" si="74"/>
        <v>5115</v>
      </c>
      <c r="V221" s="295">
        <f t="shared" si="75"/>
        <v>0</v>
      </c>
      <c r="W221" s="290" t="e">
        <f t="shared" si="76"/>
        <v>#NUM!</v>
      </c>
      <c r="X221" s="295">
        <f t="shared" si="63"/>
        <v>0</v>
      </c>
      <c r="Y221" s="295" t="e">
        <f t="shared" si="64"/>
        <v>#NUM!</v>
      </c>
      <c r="Z221" s="295">
        <f t="shared" si="77"/>
        <v>0</v>
      </c>
      <c r="AA221" s="298"/>
      <c r="AC221"/>
      <c r="AD221"/>
      <c r="AE221"/>
      <c r="AF221"/>
      <c r="AG221"/>
      <c r="AH221"/>
      <c r="AI221"/>
      <c r="AJ221"/>
    </row>
    <row r="222" spans="1:36" hidden="1">
      <c r="A222" s="287">
        <f t="shared" si="78"/>
        <v>15</v>
      </c>
      <c r="B222" s="288">
        <f t="shared" si="69"/>
        <v>170</v>
      </c>
      <c r="C222" s="289">
        <f t="shared" si="70"/>
        <v>51196</v>
      </c>
      <c r="D222" s="290">
        <f t="shared" si="65"/>
        <v>3749602.5729844179</v>
      </c>
      <c r="E222" s="290">
        <f t="shared" si="66"/>
        <v>-30010.234142609712</v>
      </c>
      <c r="F222" s="290">
        <f t="shared" si="57"/>
        <v>-12043.388480392719</v>
      </c>
      <c r="G222" s="290">
        <f t="shared" si="58"/>
        <v>-17966.845662216994</v>
      </c>
      <c r="H222" s="291">
        <f t="shared" si="59"/>
        <v>3737559.1845040252</v>
      </c>
      <c r="J222" s="287">
        <f t="shared" si="79"/>
        <v>15</v>
      </c>
      <c r="K222" s="288">
        <f t="shared" si="71"/>
        <v>170</v>
      </c>
      <c r="L222" s="289">
        <f t="shared" si="72"/>
        <v>5146</v>
      </c>
      <c r="M222" s="290">
        <f t="shared" si="67"/>
        <v>0</v>
      </c>
      <c r="N222" s="290" t="e">
        <f t="shared" si="68"/>
        <v>#NUM!</v>
      </c>
      <c r="O222" s="290">
        <f t="shared" si="60"/>
        <v>0</v>
      </c>
      <c r="P222" s="290">
        <f t="shared" si="61"/>
        <v>0</v>
      </c>
      <c r="Q222" s="291">
        <f t="shared" si="62"/>
        <v>0</v>
      </c>
      <c r="S222" s="287">
        <f t="shared" si="80"/>
        <v>15</v>
      </c>
      <c r="T222" s="288">
        <f t="shared" si="73"/>
        <v>170</v>
      </c>
      <c r="U222" s="289">
        <f t="shared" si="74"/>
        <v>5146</v>
      </c>
      <c r="V222" s="290">
        <f t="shared" si="75"/>
        <v>0</v>
      </c>
      <c r="W222" s="290" t="e">
        <f t="shared" si="76"/>
        <v>#NUM!</v>
      </c>
      <c r="X222" s="290">
        <f t="shared" si="63"/>
        <v>0</v>
      </c>
      <c r="Y222" s="290" t="e">
        <f t="shared" si="64"/>
        <v>#NUM!</v>
      </c>
      <c r="Z222" s="290">
        <f t="shared" si="77"/>
        <v>0</v>
      </c>
      <c r="AA222" s="291"/>
      <c r="AC222"/>
      <c r="AD222"/>
      <c r="AE222"/>
      <c r="AF222"/>
      <c r="AG222"/>
      <c r="AH222"/>
      <c r="AI222"/>
      <c r="AJ222"/>
    </row>
    <row r="223" spans="1:36" hidden="1">
      <c r="A223" s="292">
        <f t="shared" si="78"/>
        <v>15</v>
      </c>
      <c r="B223" s="293">
        <f t="shared" si="69"/>
        <v>171</v>
      </c>
      <c r="C223" s="294">
        <f t="shared" si="70"/>
        <v>51227</v>
      </c>
      <c r="D223" s="295">
        <f t="shared" si="65"/>
        <v>3737559.1845040252</v>
      </c>
      <c r="E223" s="295">
        <f t="shared" si="66"/>
        <v>-30010.234142609712</v>
      </c>
      <c r="F223" s="295">
        <f t="shared" si="57"/>
        <v>-12101.096383527934</v>
      </c>
      <c r="G223" s="295">
        <f t="shared" si="58"/>
        <v>-17909.137759081779</v>
      </c>
      <c r="H223" s="296">
        <f t="shared" si="59"/>
        <v>3725458.0881204973</v>
      </c>
      <c r="J223" s="292">
        <f t="shared" si="79"/>
        <v>15</v>
      </c>
      <c r="K223" s="293">
        <f t="shared" si="71"/>
        <v>171</v>
      </c>
      <c r="L223" s="294">
        <f t="shared" si="72"/>
        <v>5174</v>
      </c>
      <c r="M223" s="295">
        <f t="shared" si="67"/>
        <v>0</v>
      </c>
      <c r="N223" s="295" t="e">
        <f t="shared" si="68"/>
        <v>#NUM!</v>
      </c>
      <c r="O223" s="295">
        <f t="shared" si="60"/>
        <v>0</v>
      </c>
      <c r="P223" s="295">
        <f t="shared" si="61"/>
        <v>0</v>
      </c>
      <c r="Q223" s="296">
        <f t="shared" si="62"/>
        <v>0</v>
      </c>
      <c r="S223" s="292">
        <f t="shared" si="80"/>
        <v>15</v>
      </c>
      <c r="T223" s="293">
        <f t="shared" si="73"/>
        <v>171</v>
      </c>
      <c r="U223" s="294">
        <f t="shared" si="74"/>
        <v>5174</v>
      </c>
      <c r="V223" s="295">
        <f t="shared" si="75"/>
        <v>0</v>
      </c>
      <c r="W223" s="290" t="e">
        <f t="shared" si="76"/>
        <v>#NUM!</v>
      </c>
      <c r="X223" s="295">
        <f t="shared" si="63"/>
        <v>0</v>
      </c>
      <c r="Y223" s="295" t="e">
        <f t="shared" si="64"/>
        <v>#NUM!</v>
      </c>
      <c r="Z223" s="295">
        <f t="shared" si="77"/>
        <v>0</v>
      </c>
      <c r="AA223" s="296"/>
      <c r="AC223"/>
      <c r="AD223"/>
      <c r="AE223"/>
      <c r="AF223"/>
      <c r="AG223"/>
      <c r="AH223"/>
      <c r="AI223"/>
      <c r="AJ223"/>
    </row>
    <row r="224" spans="1:36" hidden="1">
      <c r="A224" s="287">
        <f t="shared" si="78"/>
        <v>15</v>
      </c>
      <c r="B224" s="288">
        <f t="shared" si="69"/>
        <v>172</v>
      </c>
      <c r="C224" s="289">
        <f t="shared" si="70"/>
        <v>51257</v>
      </c>
      <c r="D224" s="290">
        <f t="shared" si="65"/>
        <v>3725458.0881204973</v>
      </c>
      <c r="E224" s="290">
        <f t="shared" si="66"/>
        <v>-30010.234142609712</v>
      </c>
      <c r="F224" s="290">
        <f t="shared" si="57"/>
        <v>-12159.080803699006</v>
      </c>
      <c r="G224" s="290">
        <f t="shared" si="58"/>
        <v>-17851.153338910706</v>
      </c>
      <c r="H224" s="291">
        <f t="shared" si="59"/>
        <v>3713299.0073167984</v>
      </c>
      <c r="J224" s="287">
        <f t="shared" si="79"/>
        <v>15</v>
      </c>
      <c r="K224" s="288">
        <f t="shared" si="71"/>
        <v>172</v>
      </c>
      <c r="L224" s="289">
        <f t="shared" si="72"/>
        <v>5205</v>
      </c>
      <c r="M224" s="290">
        <f t="shared" si="67"/>
        <v>0</v>
      </c>
      <c r="N224" s="290" t="e">
        <f t="shared" si="68"/>
        <v>#NUM!</v>
      </c>
      <c r="O224" s="290">
        <f t="shared" si="60"/>
        <v>0</v>
      </c>
      <c r="P224" s="290">
        <f t="shared" si="61"/>
        <v>0</v>
      </c>
      <c r="Q224" s="291">
        <f t="shared" si="62"/>
        <v>0</v>
      </c>
      <c r="S224" s="287">
        <f t="shared" si="80"/>
        <v>15</v>
      </c>
      <c r="T224" s="288">
        <f t="shared" si="73"/>
        <v>172</v>
      </c>
      <c r="U224" s="289">
        <f t="shared" si="74"/>
        <v>5205</v>
      </c>
      <c r="V224" s="290">
        <f t="shared" si="75"/>
        <v>0</v>
      </c>
      <c r="W224" s="290" t="e">
        <f t="shared" si="76"/>
        <v>#NUM!</v>
      </c>
      <c r="X224" s="290">
        <f t="shared" si="63"/>
        <v>0</v>
      </c>
      <c r="Y224" s="290" t="e">
        <f t="shared" si="64"/>
        <v>#NUM!</v>
      </c>
      <c r="Z224" s="290">
        <f t="shared" si="77"/>
        <v>0</v>
      </c>
      <c r="AA224" s="291"/>
      <c r="AC224"/>
      <c r="AD224"/>
      <c r="AE224"/>
      <c r="AF224"/>
      <c r="AG224"/>
      <c r="AH224"/>
      <c r="AI224"/>
      <c r="AJ224"/>
    </row>
    <row r="225" spans="1:36" hidden="1">
      <c r="A225" s="292">
        <f t="shared" si="78"/>
        <v>15</v>
      </c>
      <c r="B225" s="293">
        <f t="shared" si="69"/>
        <v>173</v>
      </c>
      <c r="C225" s="294">
        <f t="shared" si="70"/>
        <v>51288</v>
      </c>
      <c r="D225" s="295">
        <f t="shared" si="65"/>
        <v>3713299.0073167984</v>
      </c>
      <c r="E225" s="295">
        <f t="shared" si="66"/>
        <v>-30010.234142609712</v>
      </c>
      <c r="F225" s="295">
        <f t="shared" si="57"/>
        <v>-12217.343065883399</v>
      </c>
      <c r="G225" s="295">
        <f t="shared" si="58"/>
        <v>-17792.891076726315</v>
      </c>
      <c r="H225" s="298">
        <f t="shared" si="59"/>
        <v>3701081.6642509149</v>
      </c>
      <c r="J225" s="292">
        <f t="shared" si="79"/>
        <v>15</v>
      </c>
      <c r="K225" s="293">
        <f t="shared" si="71"/>
        <v>173</v>
      </c>
      <c r="L225" s="294">
        <f t="shared" si="72"/>
        <v>5235</v>
      </c>
      <c r="M225" s="295">
        <f t="shared" si="67"/>
        <v>0</v>
      </c>
      <c r="N225" s="295" t="e">
        <f t="shared" si="68"/>
        <v>#NUM!</v>
      </c>
      <c r="O225" s="295">
        <f t="shared" si="60"/>
        <v>0</v>
      </c>
      <c r="P225" s="295">
        <f t="shared" si="61"/>
        <v>0</v>
      </c>
      <c r="Q225" s="298">
        <f t="shared" si="62"/>
        <v>0</v>
      </c>
      <c r="S225" s="292">
        <f t="shared" si="80"/>
        <v>15</v>
      </c>
      <c r="T225" s="293">
        <f t="shared" si="73"/>
        <v>173</v>
      </c>
      <c r="U225" s="294">
        <f t="shared" si="74"/>
        <v>5235</v>
      </c>
      <c r="V225" s="295">
        <f t="shared" si="75"/>
        <v>0</v>
      </c>
      <c r="W225" s="290" t="e">
        <f t="shared" si="76"/>
        <v>#NUM!</v>
      </c>
      <c r="X225" s="295">
        <f t="shared" si="63"/>
        <v>0</v>
      </c>
      <c r="Y225" s="295" t="e">
        <f t="shared" si="64"/>
        <v>#NUM!</v>
      </c>
      <c r="Z225" s="295">
        <f t="shared" si="77"/>
        <v>0</v>
      </c>
      <c r="AA225" s="298"/>
      <c r="AC225"/>
      <c r="AD225"/>
      <c r="AE225"/>
      <c r="AF225"/>
      <c r="AG225"/>
      <c r="AH225"/>
      <c r="AI225"/>
      <c r="AJ225"/>
    </row>
    <row r="226" spans="1:36" hidden="1">
      <c r="A226" s="287">
        <f t="shared" si="78"/>
        <v>15</v>
      </c>
      <c r="B226" s="288">
        <f t="shared" si="69"/>
        <v>174</v>
      </c>
      <c r="C226" s="289">
        <f t="shared" si="70"/>
        <v>51318</v>
      </c>
      <c r="D226" s="290">
        <f t="shared" si="65"/>
        <v>3701081.6642509149</v>
      </c>
      <c r="E226" s="290">
        <f t="shared" si="66"/>
        <v>-30010.234142609712</v>
      </c>
      <c r="F226" s="290">
        <f t="shared" si="57"/>
        <v>-12275.884501407421</v>
      </c>
      <c r="G226" s="290">
        <f t="shared" si="58"/>
        <v>-17734.349641202291</v>
      </c>
      <c r="H226" s="291">
        <f t="shared" si="59"/>
        <v>3688805.7797495076</v>
      </c>
      <c r="J226" s="287">
        <f t="shared" si="79"/>
        <v>15</v>
      </c>
      <c r="K226" s="288">
        <f t="shared" si="71"/>
        <v>174</v>
      </c>
      <c r="L226" s="289">
        <f t="shared" si="72"/>
        <v>5266</v>
      </c>
      <c r="M226" s="290">
        <f t="shared" si="67"/>
        <v>0</v>
      </c>
      <c r="N226" s="290" t="e">
        <f t="shared" si="68"/>
        <v>#NUM!</v>
      </c>
      <c r="O226" s="290">
        <f t="shared" si="60"/>
        <v>0</v>
      </c>
      <c r="P226" s="290">
        <f t="shared" si="61"/>
        <v>0</v>
      </c>
      <c r="Q226" s="291">
        <f t="shared" si="62"/>
        <v>0</v>
      </c>
      <c r="S226" s="287">
        <f t="shared" si="80"/>
        <v>15</v>
      </c>
      <c r="T226" s="288">
        <f t="shared" si="73"/>
        <v>174</v>
      </c>
      <c r="U226" s="289">
        <f t="shared" si="74"/>
        <v>5266</v>
      </c>
      <c r="V226" s="290">
        <f t="shared" si="75"/>
        <v>0</v>
      </c>
      <c r="W226" s="290" t="e">
        <f t="shared" si="76"/>
        <v>#NUM!</v>
      </c>
      <c r="X226" s="290">
        <f t="shared" si="63"/>
        <v>0</v>
      </c>
      <c r="Y226" s="290" t="e">
        <f t="shared" si="64"/>
        <v>#NUM!</v>
      </c>
      <c r="Z226" s="290">
        <f t="shared" si="77"/>
        <v>0</v>
      </c>
      <c r="AA226" s="291"/>
      <c r="AC226"/>
      <c r="AD226"/>
      <c r="AE226"/>
      <c r="AF226"/>
      <c r="AG226"/>
      <c r="AH226"/>
      <c r="AI226"/>
      <c r="AJ226"/>
    </row>
    <row r="227" spans="1:36" hidden="1">
      <c r="A227" s="292">
        <f t="shared" si="78"/>
        <v>15</v>
      </c>
      <c r="B227" s="293">
        <f t="shared" si="69"/>
        <v>175</v>
      </c>
      <c r="C227" s="294">
        <f t="shared" si="70"/>
        <v>51349</v>
      </c>
      <c r="D227" s="295">
        <f t="shared" si="65"/>
        <v>3688805.7797495076</v>
      </c>
      <c r="E227" s="295">
        <f t="shared" si="66"/>
        <v>-30010.234142609712</v>
      </c>
      <c r="F227" s="295">
        <f t="shared" si="57"/>
        <v>-12334.706447976667</v>
      </c>
      <c r="G227" s="295">
        <f t="shared" si="58"/>
        <v>-17675.527694633049</v>
      </c>
      <c r="H227" s="296">
        <f t="shared" si="59"/>
        <v>3676471.0733015309</v>
      </c>
      <c r="J227" s="292">
        <f t="shared" si="79"/>
        <v>15</v>
      </c>
      <c r="K227" s="293">
        <f t="shared" si="71"/>
        <v>175</v>
      </c>
      <c r="L227" s="294">
        <f t="shared" si="72"/>
        <v>5296</v>
      </c>
      <c r="M227" s="295">
        <f t="shared" si="67"/>
        <v>0</v>
      </c>
      <c r="N227" s="295" t="e">
        <f t="shared" si="68"/>
        <v>#NUM!</v>
      </c>
      <c r="O227" s="295">
        <f t="shared" si="60"/>
        <v>0</v>
      </c>
      <c r="P227" s="295">
        <f t="shared" si="61"/>
        <v>0</v>
      </c>
      <c r="Q227" s="296">
        <f t="shared" si="62"/>
        <v>0</v>
      </c>
      <c r="S227" s="292">
        <f t="shared" si="80"/>
        <v>15</v>
      </c>
      <c r="T227" s="293">
        <f t="shared" si="73"/>
        <v>175</v>
      </c>
      <c r="U227" s="294">
        <f t="shared" si="74"/>
        <v>5296</v>
      </c>
      <c r="V227" s="295">
        <f t="shared" si="75"/>
        <v>0</v>
      </c>
      <c r="W227" s="290" t="e">
        <f t="shared" si="76"/>
        <v>#NUM!</v>
      </c>
      <c r="X227" s="295">
        <f t="shared" si="63"/>
        <v>0</v>
      </c>
      <c r="Y227" s="295" t="e">
        <f t="shared" si="64"/>
        <v>#NUM!</v>
      </c>
      <c r="Z227" s="295">
        <f t="shared" si="77"/>
        <v>0</v>
      </c>
      <c r="AA227" s="296"/>
      <c r="AC227"/>
      <c r="AD227"/>
      <c r="AE227"/>
      <c r="AF227"/>
      <c r="AG227"/>
      <c r="AH227"/>
      <c r="AI227"/>
      <c r="AJ227"/>
    </row>
    <row r="228" spans="1:36" hidden="1">
      <c r="A228" s="287">
        <f t="shared" si="78"/>
        <v>15</v>
      </c>
      <c r="B228" s="288">
        <f t="shared" si="69"/>
        <v>176</v>
      </c>
      <c r="C228" s="289">
        <f t="shared" si="70"/>
        <v>51380</v>
      </c>
      <c r="D228" s="290">
        <f t="shared" si="65"/>
        <v>3676471.0733015309</v>
      </c>
      <c r="E228" s="290">
        <f t="shared" si="66"/>
        <v>-30010.234142609712</v>
      </c>
      <c r="F228" s="290">
        <f t="shared" si="57"/>
        <v>-12393.810249706554</v>
      </c>
      <c r="G228" s="290">
        <f t="shared" si="58"/>
        <v>-17616.423892903153</v>
      </c>
      <c r="H228" s="291">
        <f t="shared" si="59"/>
        <v>3664077.2630518242</v>
      </c>
      <c r="J228" s="287">
        <f t="shared" si="79"/>
        <v>15</v>
      </c>
      <c r="K228" s="288">
        <f t="shared" si="71"/>
        <v>176</v>
      </c>
      <c r="L228" s="289">
        <f t="shared" si="72"/>
        <v>5327</v>
      </c>
      <c r="M228" s="290">
        <f t="shared" si="67"/>
        <v>0</v>
      </c>
      <c r="N228" s="290" t="e">
        <f t="shared" si="68"/>
        <v>#NUM!</v>
      </c>
      <c r="O228" s="290">
        <f t="shared" si="60"/>
        <v>0</v>
      </c>
      <c r="P228" s="290">
        <f t="shared" si="61"/>
        <v>0</v>
      </c>
      <c r="Q228" s="291">
        <f t="shared" si="62"/>
        <v>0</v>
      </c>
      <c r="S228" s="287">
        <f t="shared" si="80"/>
        <v>15</v>
      </c>
      <c r="T228" s="288">
        <f t="shared" si="73"/>
        <v>176</v>
      </c>
      <c r="U228" s="289">
        <f t="shared" si="74"/>
        <v>5327</v>
      </c>
      <c r="V228" s="290">
        <f t="shared" si="75"/>
        <v>0</v>
      </c>
      <c r="W228" s="290" t="e">
        <f t="shared" si="76"/>
        <v>#NUM!</v>
      </c>
      <c r="X228" s="290">
        <f t="shared" si="63"/>
        <v>0</v>
      </c>
      <c r="Y228" s="290" t="e">
        <f t="shared" si="64"/>
        <v>#NUM!</v>
      </c>
      <c r="Z228" s="290">
        <f t="shared" si="77"/>
        <v>0</v>
      </c>
      <c r="AA228" s="291"/>
      <c r="AC228"/>
      <c r="AD228"/>
      <c r="AE228"/>
      <c r="AF228"/>
      <c r="AG228"/>
      <c r="AH228"/>
      <c r="AI228"/>
      <c r="AJ228"/>
    </row>
    <row r="229" spans="1:36" hidden="1">
      <c r="A229" s="292">
        <f t="shared" si="78"/>
        <v>15</v>
      </c>
      <c r="B229" s="293">
        <f t="shared" si="69"/>
        <v>177</v>
      </c>
      <c r="C229" s="294">
        <f t="shared" si="70"/>
        <v>51410</v>
      </c>
      <c r="D229" s="295">
        <f t="shared" si="65"/>
        <v>3664077.2630518242</v>
      </c>
      <c r="E229" s="295">
        <f t="shared" si="66"/>
        <v>-30010.234142609712</v>
      </c>
      <c r="F229" s="295">
        <f t="shared" si="57"/>
        <v>-12453.197257153064</v>
      </c>
      <c r="G229" s="295">
        <f t="shared" si="58"/>
        <v>-17557.036885456651</v>
      </c>
      <c r="H229" s="298">
        <f t="shared" si="59"/>
        <v>3651624.065794671</v>
      </c>
      <c r="J229" s="292">
        <f t="shared" si="79"/>
        <v>15</v>
      </c>
      <c r="K229" s="293">
        <f t="shared" si="71"/>
        <v>177</v>
      </c>
      <c r="L229" s="294">
        <f t="shared" si="72"/>
        <v>5358</v>
      </c>
      <c r="M229" s="295">
        <f t="shared" si="67"/>
        <v>0</v>
      </c>
      <c r="N229" s="295" t="e">
        <f t="shared" si="68"/>
        <v>#NUM!</v>
      </c>
      <c r="O229" s="295">
        <f t="shared" si="60"/>
        <v>0</v>
      </c>
      <c r="P229" s="295">
        <f t="shared" si="61"/>
        <v>0</v>
      </c>
      <c r="Q229" s="298">
        <f t="shared" si="62"/>
        <v>0</v>
      </c>
      <c r="S229" s="292">
        <f t="shared" si="80"/>
        <v>15</v>
      </c>
      <c r="T229" s="293">
        <f t="shared" si="73"/>
        <v>177</v>
      </c>
      <c r="U229" s="294">
        <f t="shared" si="74"/>
        <v>5358</v>
      </c>
      <c r="V229" s="295">
        <f t="shared" si="75"/>
        <v>0</v>
      </c>
      <c r="W229" s="290" t="e">
        <f t="shared" si="76"/>
        <v>#NUM!</v>
      </c>
      <c r="X229" s="295">
        <f t="shared" si="63"/>
        <v>0</v>
      </c>
      <c r="Y229" s="295" t="e">
        <f t="shared" si="64"/>
        <v>#NUM!</v>
      </c>
      <c r="Z229" s="295">
        <f t="shared" si="77"/>
        <v>0</v>
      </c>
      <c r="AA229" s="298"/>
      <c r="AC229"/>
      <c r="AD229"/>
      <c r="AE229"/>
      <c r="AF229"/>
      <c r="AG229"/>
      <c r="AH229"/>
      <c r="AI229"/>
      <c r="AJ229"/>
    </row>
    <row r="230" spans="1:36" hidden="1">
      <c r="A230" s="287">
        <f t="shared" si="78"/>
        <v>15</v>
      </c>
      <c r="B230" s="288">
        <f t="shared" si="69"/>
        <v>178</v>
      </c>
      <c r="C230" s="289">
        <f t="shared" si="70"/>
        <v>51441</v>
      </c>
      <c r="D230" s="290">
        <f t="shared" si="65"/>
        <v>3651624.065794671</v>
      </c>
      <c r="E230" s="290">
        <f t="shared" si="66"/>
        <v>-30010.234142609712</v>
      </c>
      <c r="F230" s="290">
        <f t="shared" si="57"/>
        <v>-12512.868827343591</v>
      </c>
      <c r="G230" s="290">
        <f t="shared" si="58"/>
        <v>-17497.365315266125</v>
      </c>
      <c r="H230" s="291">
        <f t="shared" si="59"/>
        <v>3639111.1969673275</v>
      </c>
      <c r="J230" s="287">
        <f t="shared" si="79"/>
        <v>15</v>
      </c>
      <c r="K230" s="288">
        <f t="shared" si="71"/>
        <v>178</v>
      </c>
      <c r="L230" s="289">
        <f t="shared" si="72"/>
        <v>5388</v>
      </c>
      <c r="M230" s="290">
        <f t="shared" si="67"/>
        <v>0</v>
      </c>
      <c r="N230" s="290" t="e">
        <f t="shared" si="68"/>
        <v>#NUM!</v>
      </c>
      <c r="O230" s="290">
        <f t="shared" si="60"/>
        <v>0</v>
      </c>
      <c r="P230" s="290">
        <f t="shared" si="61"/>
        <v>0</v>
      </c>
      <c r="Q230" s="291">
        <f t="shared" si="62"/>
        <v>0</v>
      </c>
      <c r="S230" s="287">
        <f t="shared" si="80"/>
        <v>15</v>
      </c>
      <c r="T230" s="288">
        <f t="shared" si="73"/>
        <v>178</v>
      </c>
      <c r="U230" s="289">
        <f t="shared" si="74"/>
        <v>5388</v>
      </c>
      <c r="V230" s="290">
        <f t="shared" si="75"/>
        <v>0</v>
      </c>
      <c r="W230" s="290" t="e">
        <f t="shared" si="76"/>
        <v>#NUM!</v>
      </c>
      <c r="X230" s="290">
        <f t="shared" si="63"/>
        <v>0</v>
      </c>
      <c r="Y230" s="290" t="e">
        <f t="shared" si="64"/>
        <v>#NUM!</v>
      </c>
      <c r="Z230" s="290">
        <f t="shared" si="77"/>
        <v>0</v>
      </c>
      <c r="AA230" s="291"/>
      <c r="AC230"/>
      <c r="AD230"/>
      <c r="AE230"/>
      <c r="AF230"/>
      <c r="AG230"/>
      <c r="AH230"/>
      <c r="AI230"/>
      <c r="AJ230"/>
    </row>
    <row r="231" spans="1:36" hidden="1">
      <c r="A231" s="292">
        <f t="shared" si="78"/>
        <v>15</v>
      </c>
      <c r="B231" s="293">
        <f t="shared" si="69"/>
        <v>179</v>
      </c>
      <c r="C231" s="294">
        <f t="shared" si="70"/>
        <v>51471</v>
      </c>
      <c r="D231" s="295">
        <f t="shared" si="65"/>
        <v>3639111.1969673275</v>
      </c>
      <c r="E231" s="295">
        <f t="shared" si="66"/>
        <v>-30010.234142609712</v>
      </c>
      <c r="F231" s="295">
        <f t="shared" si="57"/>
        <v>-12572.826323807945</v>
      </c>
      <c r="G231" s="295">
        <f t="shared" si="58"/>
        <v>-17437.407818801767</v>
      </c>
      <c r="H231" s="296">
        <f t="shared" si="59"/>
        <v>3626538.3706435193</v>
      </c>
      <c r="J231" s="292">
        <f t="shared" si="79"/>
        <v>15</v>
      </c>
      <c r="K231" s="293">
        <f t="shared" si="71"/>
        <v>179</v>
      </c>
      <c r="L231" s="294">
        <f t="shared" si="72"/>
        <v>5419</v>
      </c>
      <c r="M231" s="295">
        <f t="shared" si="67"/>
        <v>0</v>
      </c>
      <c r="N231" s="295" t="e">
        <f t="shared" si="68"/>
        <v>#NUM!</v>
      </c>
      <c r="O231" s="295">
        <f t="shared" si="60"/>
        <v>0</v>
      </c>
      <c r="P231" s="295">
        <f t="shared" si="61"/>
        <v>0</v>
      </c>
      <c r="Q231" s="296">
        <f t="shared" si="62"/>
        <v>0</v>
      </c>
      <c r="S231" s="292">
        <f t="shared" si="80"/>
        <v>15</v>
      </c>
      <c r="T231" s="293">
        <f t="shared" si="73"/>
        <v>179</v>
      </c>
      <c r="U231" s="294">
        <f t="shared" si="74"/>
        <v>5419</v>
      </c>
      <c r="V231" s="295">
        <f t="shared" si="75"/>
        <v>0</v>
      </c>
      <c r="W231" s="290" t="e">
        <f t="shared" si="76"/>
        <v>#NUM!</v>
      </c>
      <c r="X231" s="295">
        <f t="shared" si="63"/>
        <v>0</v>
      </c>
      <c r="Y231" s="295" t="e">
        <f t="shared" si="64"/>
        <v>#NUM!</v>
      </c>
      <c r="Z231" s="295">
        <f t="shared" si="77"/>
        <v>0</v>
      </c>
      <c r="AA231" s="296"/>
      <c r="AC231"/>
      <c r="AD231"/>
      <c r="AE231"/>
      <c r="AF231"/>
      <c r="AG231"/>
      <c r="AH231"/>
      <c r="AI231"/>
      <c r="AJ231"/>
    </row>
    <row r="232" spans="1:36" hidden="1">
      <c r="A232" s="287">
        <f t="shared" si="78"/>
        <v>15</v>
      </c>
      <c r="B232" s="288">
        <f t="shared" si="69"/>
        <v>180</v>
      </c>
      <c r="C232" s="289">
        <f t="shared" si="70"/>
        <v>51502</v>
      </c>
      <c r="D232" s="290">
        <f t="shared" si="65"/>
        <v>3626538.3706435193</v>
      </c>
      <c r="E232" s="290">
        <f t="shared" si="66"/>
        <v>-30010.234142609712</v>
      </c>
      <c r="F232" s="290">
        <f t="shared" si="57"/>
        <v>-12633.071116609523</v>
      </c>
      <c r="G232" s="290">
        <f t="shared" si="58"/>
        <v>-17377.163026000188</v>
      </c>
      <c r="H232" s="291">
        <f t="shared" si="59"/>
        <v>3613905.2995269098</v>
      </c>
      <c r="J232" s="287">
        <f t="shared" si="79"/>
        <v>15</v>
      </c>
      <c r="K232" s="288">
        <f t="shared" si="71"/>
        <v>180</v>
      </c>
      <c r="L232" s="289">
        <f t="shared" si="72"/>
        <v>5449</v>
      </c>
      <c r="M232" s="290">
        <f t="shared" si="67"/>
        <v>0</v>
      </c>
      <c r="N232" s="290" t="e">
        <f t="shared" si="68"/>
        <v>#NUM!</v>
      </c>
      <c r="O232" s="290">
        <f t="shared" si="60"/>
        <v>0</v>
      </c>
      <c r="P232" s="290">
        <f t="shared" si="61"/>
        <v>0</v>
      </c>
      <c r="Q232" s="291">
        <f t="shared" si="62"/>
        <v>0</v>
      </c>
      <c r="S232" s="287">
        <f t="shared" si="80"/>
        <v>15</v>
      </c>
      <c r="T232" s="288">
        <f t="shared" si="73"/>
        <v>180</v>
      </c>
      <c r="U232" s="289">
        <f t="shared" si="74"/>
        <v>5449</v>
      </c>
      <c r="V232" s="290">
        <f t="shared" si="75"/>
        <v>0</v>
      </c>
      <c r="W232" s="290" t="e">
        <f t="shared" si="76"/>
        <v>#NUM!</v>
      </c>
      <c r="X232" s="290">
        <f t="shared" si="63"/>
        <v>0</v>
      </c>
      <c r="Y232" s="290" t="e">
        <f t="shared" si="64"/>
        <v>#NUM!</v>
      </c>
      <c r="Z232" s="290">
        <f t="shared" si="77"/>
        <v>0</v>
      </c>
      <c r="AA232" s="291"/>
      <c r="AC232"/>
      <c r="AD232"/>
      <c r="AE232"/>
      <c r="AF232"/>
      <c r="AG232"/>
      <c r="AH232"/>
      <c r="AI232"/>
      <c r="AJ232"/>
    </row>
    <row r="233" spans="1:36" hidden="1">
      <c r="A233" s="292">
        <f t="shared" si="78"/>
        <v>16</v>
      </c>
      <c r="B233" s="293">
        <f t="shared" si="69"/>
        <v>181</v>
      </c>
      <c r="C233" s="294">
        <f t="shared" si="70"/>
        <v>51533</v>
      </c>
      <c r="D233" s="295">
        <f t="shared" si="65"/>
        <v>3613905.2995269098</v>
      </c>
      <c r="E233" s="295">
        <f t="shared" si="66"/>
        <v>-30010.234142609712</v>
      </c>
      <c r="F233" s="295">
        <f t="shared" si="57"/>
        <v>-12693.604582376613</v>
      </c>
      <c r="G233" s="295">
        <f t="shared" si="58"/>
        <v>-17316.629560233101</v>
      </c>
      <c r="H233" s="298">
        <f t="shared" si="59"/>
        <v>3601211.6949445331</v>
      </c>
      <c r="J233" s="292">
        <f t="shared" si="79"/>
        <v>16</v>
      </c>
      <c r="K233" s="293">
        <f t="shared" si="71"/>
        <v>181</v>
      </c>
      <c r="L233" s="294">
        <f t="shared" si="72"/>
        <v>5480</v>
      </c>
      <c r="M233" s="295">
        <f t="shared" si="67"/>
        <v>0</v>
      </c>
      <c r="N233" s="295" t="e">
        <f t="shared" si="68"/>
        <v>#NUM!</v>
      </c>
      <c r="O233" s="295">
        <f t="shared" si="60"/>
        <v>0</v>
      </c>
      <c r="P233" s="295">
        <f t="shared" si="61"/>
        <v>0</v>
      </c>
      <c r="Q233" s="298">
        <f t="shared" si="62"/>
        <v>0</v>
      </c>
      <c r="S233" s="292">
        <f t="shared" si="80"/>
        <v>16</v>
      </c>
      <c r="T233" s="293">
        <f t="shared" si="73"/>
        <v>181</v>
      </c>
      <c r="U233" s="294">
        <f t="shared" si="74"/>
        <v>5480</v>
      </c>
      <c r="V233" s="295">
        <f t="shared" si="75"/>
        <v>0</v>
      </c>
      <c r="W233" s="290" t="e">
        <f t="shared" si="76"/>
        <v>#NUM!</v>
      </c>
      <c r="X233" s="295">
        <f t="shared" si="63"/>
        <v>0</v>
      </c>
      <c r="Y233" s="295" t="e">
        <f t="shared" si="64"/>
        <v>#NUM!</v>
      </c>
      <c r="Z233" s="295">
        <f t="shared" si="77"/>
        <v>0</v>
      </c>
      <c r="AA233" s="298"/>
      <c r="AC233"/>
      <c r="AD233"/>
      <c r="AE233"/>
      <c r="AF233"/>
      <c r="AG233"/>
      <c r="AH233"/>
      <c r="AI233"/>
      <c r="AJ233"/>
    </row>
    <row r="234" spans="1:36" hidden="1">
      <c r="A234" s="287">
        <f t="shared" si="78"/>
        <v>16</v>
      </c>
      <c r="B234" s="288">
        <f t="shared" si="69"/>
        <v>182</v>
      </c>
      <c r="C234" s="289">
        <f t="shared" si="70"/>
        <v>51561</v>
      </c>
      <c r="D234" s="290">
        <f t="shared" si="65"/>
        <v>3601211.6949445331</v>
      </c>
      <c r="E234" s="290">
        <f t="shared" si="66"/>
        <v>-30010.234142609712</v>
      </c>
      <c r="F234" s="290">
        <f t="shared" si="57"/>
        <v>-12754.428104333832</v>
      </c>
      <c r="G234" s="290">
        <f t="shared" si="58"/>
        <v>-17255.806038275881</v>
      </c>
      <c r="H234" s="291">
        <f t="shared" si="59"/>
        <v>3588457.266840199</v>
      </c>
      <c r="J234" s="287">
        <f t="shared" si="79"/>
        <v>16</v>
      </c>
      <c r="K234" s="288">
        <f t="shared" si="71"/>
        <v>182</v>
      </c>
      <c r="L234" s="289">
        <f t="shared" si="72"/>
        <v>5511</v>
      </c>
      <c r="M234" s="290">
        <f t="shared" si="67"/>
        <v>0</v>
      </c>
      <c r="N234" s="290" t="e">
        <f t="shared" si="68"/>
        <v>#NUM!</v>
      </c>
      <c r="O234" s="290">
        <f t="shared" si="60"/>
        <v>0</v>
      </c>
      <c r="P234" s="290">
        <f t="shared" si="61"/>
        <v>0</v>
      </c>
      <c r="Q234" s="291">
        <f t="shared" si="62"/>
        <v>0</v>
      </c>
      <c r="S234" s="287">
        <f t="shared" si="80"/>
        <v>16</v>
      </c>
      <c r="T234" s="288">
        <f t="shared" si="73"/>
        <v>182</v>
      </c>
      <c r="U234" s="289">
        <f t="shared" si="74"/>
        <v>5511</v>
      </c>
      <c r="V234" s="290">
        <f t="shared" si="75"/>
        <v>0</v>
      </c>
      <c r="W234" s="290" t="e">
        <f t="shared" si="76"/>
        <v>#NUM!</v>
      </c>
      <c r="X234" s="290">
        <f t="shared" si="63"/>
        <v>0</v>
      </c>
      <c r="Y234" s="290" t="e">
        <f t="shared" si="64"/>
        <v>#NUM!</v>
      </c>
      <c r="Z234" s="290">
        <f t="shared" si="77"/>
        <v>0</v>
      </c>
      <c r="AA234" s="291"/>
      <c r="AC234"/>
      <c r="AD234"/>
      <c r="AE234"/>
      <c r="AF234"/>
      <c r="AG234"/>
      <c r="AH234"/>
      <c r="AI234"/>
      <c r="AJ234"/>
    </row>
    <row r="235" spans="1:36" hidden="1">
      <c r="A235" s="292">
        <f t="shared" si="78"/>
        <v>16</v>
      </c>
      <c r="B235" s="293">
        <f t="shared" si="69"/>
        <v>183</v>
      </c>
      <c r="C235" s="294">
        <f t="shared" si="70"/>
        <v>51592</v>
      </c>
      <c r="D235" s="295">
        <f t="shared" si="65"/>
        <v>3588457.266840199</v>
      </c>
      <c r="E235" s="295">
        <f t="shared" si="66"/>
        <v>-30010.234142609712</v>
      </c>
      <c r="F235" s="295">
        <f t="shared" si="57"/>
        <v>-12815.543072333765</v>
      </c>
      <c r="G235" s="295">
        <f t="shared" si="58"/>
        <v>-17194.691070275949</v>
      </c>
      <c r="H235" s="296">
        <f t="shared" si="59"/>
        <v>3575641.7237678654</v>
      </c>
      <c r="J235" s="292">
        <f t="shared" si="79"/>
        <v>16</v>
      </c>
      <c r="K235" s="293">
        <f t="shared" si="71"/>
        <v>183</v>
      </c>
      <c r="L235" s="294">
        <f t="shared" si="72"/>
        <v>5539</v>
      </c>
      <c r="M235" s="295">
        <f t="shared" si="67"/>
        <v>0</v>
      </c>
      <c r="N235" s="295" t="e">
        <f t="shared" si="68"/>
        <v>#NUM!</v>
      </c>
      <c r="O235" s="295">
        <f t="shared" si="60"/>
        <v>0</v>
      </c>
      <c r="P235" s="295">
        <f t="shared" si="61"/>
        <v>0</v>
      </c>
      <c r="Q235" s="296">
        <f t="shared" si="62"/>
        <v>0</v>
      </c>
      <c r="S235" s="292">
        <f t="shared" si="80"/>
        <v>16</v>
      </c>
      <c r="T235" s="293">
        <f t="shared" si="73"/>
        <v>183</v>
      </c>
      <c r="U235" s="294">
        <f t="shared" si="74"/>
        <v>5539</v>
      </c>
      <c r="V235" s="295">
        <f t="shared" si="75"/>
        <v>0</v>
      </c>
      <c r="W235" s="290" t="e">
        <f t="shared" si="76"/>
        <v>#NUM!</v>
      </c>
      <c r="X235" s="295">
        <f t="shared" si="63"/>
        <v>0</v>
      </c>
      <c r="Y235" s="295" t="e">
        <f t="shared" si="64"/>
        <v>#NUM!</v>
      </c>
      <c r="Z235" s="295">
        <f t="shared" si="77"/>
        <v>0</v>
      </c>
      <c r="AA235" s="296"/>
      <c r="AC235"/>
      <c r="AD235"/>
      <c r="AE235"/>
      <c r="AF235"/>
      <c r="AG235"/>
      <c r="AH235"/>
      <c r="AI235"/>
      <c r="AJ235"/>
    </row>
    <row r="236" spans="1:36" hidden="1">
      <c r="A236" s="287">
        <f t="shared" si="78"/>
        <v>16</v>
      </c>
      <c r="B236" s="288">
        <f t="shared" si="69"/>
        <v>184</v>
      </c>
      <c r="C236" s="289">
        <f t="shared" si="70"/>
        <v>51622</v>
      </c>
      <c r="D236" s="290">
        <f t="shared" si="65"/>
        <v>3575641.7237678654</v>
      </c>
      <c r="E236" s="290">
        <f t="shared" si="66"/>
        <v>-30010.234142609712</v>
      </c>
      <c r="F236" s="290">
        <f t="shared" si="57"/>
        <v>-12876.950882888701</v>
      </c>
      <c r="G236" s="290">
        <f t="shared" si="58"/>
        <v>-17133.283259721014</v>
      </c>
      <c r="H236" s="291">
        <f t="shared" si="59"/>
        <v>3562764.7728849766</v>
      </c>
      <c r="J236" s="287">
        <f t="shared" si="79"/>
        <v>16</v>
      </c>
      <c r="K236" s="288">
        <f t="shared" si="71"/>
        <v>184</v>
      </c>
      <c r="L236" s="289">
        <f t="shared" si="72"/>
        <v>5570</v>
      </c>
      <c r="M236" s="290">
        <f t="shared" si="67"/>
        <v>0</v>
      </c>
      <c r="N236" s="290" t="e">
        <f t="shared" si="68"/>
        <v>#NUM!</v>
      </c>
      <c r="O236" s="290">
        <f t="shared" si="60"/>
        <v>0</v>
      </c>
      <c r="P236" s="290">
        <f t="shared" si="61"/>
        <v>0</v>
      </c>
      <c r="Q236" s="291">
        <f t="shared" si="62"/>
        <v>0</v>
      </c>
      <c r="S236" s="287">
        <f t="shared" si="80"/>
        <v>16</v>
      </c>
      <c r="T236" s="288">
        <f t="shared" si="73"/>
        <v>184</v>
      </c>
      <c r="U236" s="289">
        <f t="shared" si="74"/>
        <v>5570</v>
      </c>
      <c r="V236" s="290">
        <f t="shared" si="75"/>
        <v>0</v>
      </c>
      <c r="W236" s="290" t="e">
        <f t="shared" si="76"/>
        <v>#NUM!</v>
      </c>
      <c r="X236" s="290">
        <f t="shared" si="63"/>
        <v>0</v>
      </c>
      <c r="Y236" s="290" t="e">
        <f t="shared" si="64"/>
        <v>#NUM!</v>
      </c>
      <c r="Z236" s="290">
        <f t="shared" si="77"/>
        <v>0</v>
      </c>
      <c r="AA236" s="291"/>
      <c r="AC236"/>
      <c r="AD236"/>
      <c r="AE236"/>
      <c r="AF236"/>
      <c r="AG236"/>
      <c r="AH236"/>
      <c r="AI236"/>
      <c r="AJ236"/>
    </row>
    <row r="237" spans="1:36" hidden="1">
      <c r="A237" s="292">
        <f t="shared" si="78"/>
        <v>16</v>
      </c>
      <c r="B237" s="293">
        <f t="shared" si="69"/>
        <v>185</v>
      </c>
      <c r="C237" s="294">
        <f t="shared" si="70"/>
        <v>51653</v>
      </c>
      <c r="D237" s="295">
        <f t="shared" si="65"/>
        <v>3562764.7728849766</v>
      </c>
      <c r="E237" s="295">
        <f t="shared" si="66"/>
        <v>-30010.234142609712</v>
      </c>
      <c r="F237" s="295">
        <f t="shared" si="57"/>
        <v>-12938.65293920254</v>
      </c>
      <c r="G237" s="295">
        <f t="shared" si="58"/>
        <v>-17071.581203407171</v>
      </c>
      <c r="H237" s="298">
        <f t="shared" si="59"/>
        <v>3549826.1199457739</v>
      </c>
      <c r="J237" s="292">
        <f t="shared" si="79"/>
        <v>16</v>
      </c>
      <c r="K237" s="293">
        <f t="shared" si="71"/>
        <v>185</v>
      </c>
      <c r="L237" s="294">
        <f t="shared" si="72"/>
        <v>5600</v>
      </c>
      <c r="M237" s="295">
        <f t="shared" si="67"/>
        <v>0</v>
      </c>
      <c r="N237" s="295" t="e">
        <f t="shared" si="68"/>
        <v>#NUM!</v>
      </c>
      <c r="O237" s="295">
        <f t="shared" si="60"/>
        <v>0</v>
      </c>
      <c r="P237" s="295">
        <f t="shared" si="61"/>
        <v>0</v>
      </c>
      <c r="Q237" s="298">
        <f t="shared" si="62"/>
        <v>0</v>
      </c>
      <c r="S237" s="292">
        <f t="shared" si="80"/>
        <v>16</v>
      </c>
      <c r="T237" s="293">
        <f t="shared" si="73"/>
        <v>185</v>
      </c>
      <c r="U237" s="294">
        <f t="shared" si="74"/>
        <v>5600</v>
      </c>
      <c r="V237" s="295">
        <f t="shared" si="75"/>
        <v>0</v>
      </c>
      <c r="W237" s="290" t="e">
        <f t="shared" si="76"/>
        <v>#NUM!</v>
      </c>
      <c r="X237" s="295">
        <f t="shared" si="63"/>
        <v>0</v>
      </c>
      <c r="Y237" s="295" t="e">
        <f t="shared" si="64"/>
        <v>#NUM!</v>
      </c>
      <c r="Z237" s="295">
        <f t="shared" si="77"/>
        <v>0</v>
      </c>
      <c r="AA237" s="298"/>
      <c r="AC237"/>
      <c r="AD237"/>
      <c r="AE237"/>
      <c r="AF237"/>
      <c r="AG237"/>
      <c r="AH237"/>
      <c r="AI237"/>
      <c r="AJ237"/>
    </row>
    <row r="238" spans="1:36" hidden="1">
      <c r="A238" s="287">
        <f t="shared" si="78"/>
        <v>16</v>
      </c>
      <c r="B238" s="288">
        <f t="shared" si="69"/>
        <v>186</v>
      </c>
      <c r="C238" s="289">
        <f t="shared" si="70"/>
        <v>51683</v>
      </c>
      <c r="D238" s="290">
        <f t="shared" si="65"/>
        <v>3549826.1199457739</v>
      </c>
      <c r="E238" s="290">
        <f t="shared" si="66"/>
        <v>-30010.234142609712</v>
      </c>
      <c r="F238" s="290">
        <f t="shared" si="57"/>
        <v>-13000.650651202885</v>
      </c>
      <c r="G238" s="290">
        <f t="shared" si="58"/>
        <v>-17009.583491406829</v>
      </c>
      <c r="H238" s="291">
        <f t="shared" si="59"/>
        <v>3536825.4692945709</v>
      </c>
      <c r="J238" s="287">
        <f t="shared" si="79"/>
        <v>16</v>
      </c>
      <c r="K238" s="288">
        <f t="shared" si="71"/>
        <v>186</v>
      </c>
      <c r="L238" s="289">
        <f t="shared" si="72"/>
        <v>5631</v>
      </c>
      <c r="M238" s="290">
        <f t="shared" si="67"/>
        <v>0</v>
      </c>
      <c r="N238" s="290" t="e">
        <f t="shared" si="68"/>
        <v>#NUM!</v>
      </c>
      <c r="O238" s="290">
        <f t="shared" si="60"/>
        <v>0</v>
      </c>
      <c r="P238" s="290">
        <f t="shared" si="61"/>
        <v>0</v>
      </c>
      <c r="Q238" s="291">
        <f t="shared" si="62"/>
        <v>0</v>
      </c>
      <c r="S238" s="287">
        <f t="shared" si="80"/>
        <v>16</v>
      </c>
      <c r="T238" s="288">
        <f t="shared" si="73"/>
        <v>186</v>
      </c>
      <c r="U238" s="289">
        <f t="shared" si="74"/>
        <v>5631</v>
      </c>
      <c r="V238" s="290">
        <f t="shared" si="75"/>
        <v>0</v>
      </c>
      <c r="W238" s="290" t="e">
        <f t="shared" si="76"/>
        <v>#NUM!</v>
      </c>
      <c r="X238" s="290">
        <f t="shared" si="63"/>
        <v>0</v>
      </c>
      <c r="Y238" s="290" t="e">
        <f t="shared" si="64"/>
        <v>#NUM!</v>
      </c>
      <c r="Z238" s="290">
        <f t="shared" si="77"/>
        <v>0</v>
      </c>
      <c r="AA238" s="291"/>
      <c r="AC238"/>
      <c r="AD238"/>
      <c r="AE238"/>
      <c r="AF238"/>
      <c r="AG238"/>
      <c r="AH238"/>
      <c r="AI238"/>
      <c r="AJ238"/>
    </row>
    <row r="239" spans="1:36" hidden="1">
      <c r="A239" s="292">
        <f t="shared" si="78"/>
        <v>16</v>
      </c>
      <c r="B239" s="293">
        <f t="shared" si="69"/>
        <v>187</v>
      </c>
      <c r="C239" s="294">
        <f t="shared" si="70"/>
        <v>51714</v>
      </c>
      <c r="D239" s="295">
        <f t="shared" si="65"/>
        <v>3536825.4692945709</v>
      </c>
      <c r="E239" s="295">
        <f t="shared" si="66"/>
        <v>-30010.234142609712</v>
      </c>
      <c r="F239" s="295">
        <f t="shared" si="57"/>
        <v>-13062.945435573232</v>
      </c>
      <c r="G239" s="295">
        <f t="shared" si="58"/>
        <v>-16947.288707036481</v>
      </c>
      <c r="H239" s="296">
        <f t="shared" si="59"/>
        <v>3523762.5238589975</v>
      </c>
      <c r="J239" s="292">
        <f t="shared" si="79"/>
        <v>16</v>
      </c>
      <c r="K239" s="293">
        <f t="shared" si="71"/>
        <v>187</v>
      </c>
      <c r="L239" s="294">
        <f t="shared" si="72"/>
        <v>5661</v>
      </c>
      <c r="M239" s="295">
        <f t="shared" si="67"/>
        <v>0</v>
      </c>
      <c r="N239" s="295" t="e">
        <f t="shared" si="68"/>
        <v>#NUM!</v>
      </c>
      <c r="O239" s="295">
        <f t="shared" si="60"/>
        <v>0</v>
      </c>
      <c r="P239" s="295">
        <f t="shared" si="61"/>
        <v>0</v>
      </c>
      <c r="Q239" s="296">
        <f t="shared" si="62"/>
        <v>0</v>
      </c>
      <c r="S239" s="292">
        <f t="shared" si="80"/>
        <v>16</v>
      </c>
      <c r="T239" s="293">
        <f t="shared" si="73"/>
        <v>187</v>
      </c>
      <c r="U239" s="294">
        <f t="shared" si="74"/>
        <v>5661</v>
      </c>
      <c r="V239" s="295">
        <f t="shared" si="75"/>
        <v>0</v>
      </c>
      <c r="W239" s="290" t="e">
        <f t="shared" si="76"/>
        <v>#NUM!</v>
      </c>
      <c r="X239" s="295">
        <f t="shared" si="63"/>
        <v>0</v>
      </c>
      <c r="Y239" s="295" t="e">
        <f t="shared" si="64"/>
        <v>#NUM!</v>
      </c>
      <c r="Z239" s="295">
        <f t="shared" si="77"/>
        <v>0</v>
      </c>
      <c r="AA239" s="296"/>
      <c r="AC239"/>
      <c r="AD239"/>
      <c r="AE239"/>
      <c r="AF239"/>
      <c r="AG239"/>
      <c r="AH239"/>
      <c r="AI239"/>
      <c r="AJ239"/>
    </row>
    <row r="240" spans="1:36" hidden="1">
      <c r="A240" s="287">
        <f t="shared" si="78"/>
        <v>16</v>
      </c>
      <c r="B240" s="288">
        <f t="shared" si="69"/>
        <v>188</v>
      </c>
      <c r="C240" s="289">
        <f t="shared" si="70"/>
        <v>51745</v>
      </c>
      <c r="D240" s="290">
        <f t="shared" si="65"/>
        <v>3523762.5238589975</v>
      </c>
      <c r="E240" s="290">
        <f t="shared" si="66"/>
        <v>-30010.234142609712</v>
      </c>
      <c r="F240" s="290">
        <f t="shared" si="57"/>
        <v>-13125.538715785355</v>
      </c>
      <c r="G240" s="290">
        <f t="shared" si="58"/>
        <v>-16884.695426824357</v>
      </c>
      <c r="H240" s="291">
        <f t="shared" si="59"/>
        <v>3510636.9851432121</v>
      </c>
      <c r="J240" s="287">
        <f t="shared" si="79"/>
        <v>16</v>
      </c>
      <c r="K240" s="288">
        <f t="shared" si="71"/>
        <v>188</v>
      </c>
      <c r="L240" s="289">
        <f t="shared" si="72"/>
        <v>5692</v>
      </c>
      <c r="M240" s="290">
        <f t="shared" si="67"/>
        <v>0</v>
      </c>
      <c r="N240" s="290" t="e">
        <f t="shared" si="68"/>
        <v>#NUM!</v>
      </c>
      <c r="O240" s="290">
        <f t="shared" si="60"/>
        <v>0</v>
      </c>
      <c r="P240" s="290">
        <f t="shared" si="61"/>
        <v>0</v>
      </c>
      <c r="Q240" s="291">
        <f t="shared" si="62"/>
        <v>0</v>
      </c>
      <c r="S240" s="287">
        <f t="shared" si="80"/>
        <v>16</v>
      </c>
      <c r="T240" s="288">
        <f t="shared" si="73"/>
        <v>188</v>
      </c>
      <c r="U240" s="289">
        <f t="shared" si="74"/>
        <v>5692</v>
      </c>
      <c r="V240" s="290">
        <f t="shared" si="75"/>
        <v>0</v>
      </c>
      <c r="W240" s="290" t="e">
        <f t="shared" si="76"/>
        <v>#NUM!</v>
      </c>
      <c r="X240" s="290">
        <f t="shared" si="63"/>
        <v>0</v>
      </c>
      <c r="Y240" s="290" t="e">
        <f t="shared" si="64"/>
        <v>#NUM!</v>
      </c>
      <c r="Z240" s="290">
        <f t="shared" si="77"/>
        <v>0</v>
      </c>
      <c r="AA240" s="291"/>
      <c r="AC240"/>
      <c r="AD240"/>
      <c r="AE240"/>
      <c r="AF240"/>
      <c r="AG240"/>
      <c r="AH240"/>
      <c r="AI240"/>
      <c r="AJ240"/>
    </row>
    <row r="241" spans="1:36" hidden="1">
      <c r="A241" s="292">
        <f t="shared" si="78"/>
        <v>16</v>
      </c>
      <c r="B241" s="293">
        <f t="shared" si="69"/>
        <v>189</v>
      </c>
      <c r="C241" s="294">
        <f t="shared" si="70"/>
        <v>51775</v>
      </c>
      <c r="D241" s="295">
        <f t="shared" si="65"/>
        <v>3510636.9851432121</v>
      </c>
      <c r="E241" s="295">
        <f t="shared" si="66"/>
        <v>-30010.234142609712</v>
      </c>
      <c r="F241" s="295">
        <f t="shared" si="57"/>
        <v>-13188.431922131827</v>
      </c>
      <c r="G241" s="295">
        <f t="shared" si="58"/>
        <v>-16821.802220477886</v>
      </c>
      <c r="H241" s="298">
        <f t="shared" si="59"/>
        <v>3497448.5532210805</v>
      </c>
      <c r="J241" s="292">
        <f t="shared" si="79"/>
        <v>16</v>
      </c>
      <c r="K241" s="293">
        <f t="shared" si="71"/>
        <v>189</v>
      </c>
      <c r="L241" s="294">
        <f t="shared" si="72"/>
        <v>5723</v>
      </c>
      <c r="M241" s="295">
        <f t="shared" si="67"/>
        <v>0</v>
      </c>
      <c r="N241" s="295" t="e">
        <f t="shared" si="68"/>
        <v>#NUM!</v>
      </c>
      <c r="O241" s="295">
        <f t="shared" si="60"/>
        <v>0</v>
      </c>
      <c r="P241" s="295">
        <f t="shared" si="61"/>
        <v>0</v>
      </c>
      <c r="Q241" s="298">
        <f t="shared" si="62"/>
        <v>0</v>
      </c>
      <c r="S241" s="292">
        <f t="shared" si="80"/>
        <v>16</v>
      </c>
      <c r="T241" s="293">
        <f t="shared" si="73"/>
        <v>189</v>
      </c>
      <c r="U241" s="294">
        <f t="shared" si="74"/>
        <v>5723</v>
      </c>
      <c r="V241" s="295">
        <f t="shared" si="75"/>
        <v>0</v>
      </c>
      <c r="W241" s="290" t="e">
        <f t="shared" si="76"/>
        <v>#NUM!</v>
      </c>
      <c r="X241" s="295">
        <f t="shared" si="63"/>
        <v>0</v>
      </c>
      <c r="Y241" s="295" t="e">
        <f t="shared" si="64"/>
        <v>#NUM!</v>
      </c>
      <c r="Z241" s="295">
        <f t="shared" si="77"/>
        <v>0</v>
      </c>
      <c r="AA241" s="298"/>
      <c r="AC241"/>
      <c r="AD241"/>
      <c r="AE241"/>
      <c r="AF241"/>
      <c r="AG241"/>
      <c r="AH241"/>
      <c r="AI241"/>
      <c r="AJ241"/>
    </row>
    <row r="242" spans="1:36" hidden="1">
      <c r="A242" s="287">
        <f t="shared" si="78"/>
        <v>16</v>
      </c>
      <c r="B242" s="288">
        <f t="shared" si="69"/>
        <v>190</v>
      </c>
      <c r="C242" s="289">
        <f t="shared" si="70"/>
        <v>51806</v>
      </c>
      <c r="D242" s="290">
        <f t="shared" si="65"/>
        <v>3497448.5532210805</v>
      </c>
      <c r="E242" s="290">
        <f t="shared" si="66"/>
        <v>-30010.234142609712</v>
      </c>
      <c r="F242" s="290">
        <f t="shared" si="57"/>
        <v>-13251.62649175871</v>
      </c>
      <c r="G242" s="290">
        <f t="shared" si="58"/>
        <v>-16758.607650851005</v>
      </c>
      <c r="H242" s="291">
        <f t="shared" si="59"/>
        <v>3484196.9267293219</v>
      </c>
      <c r="J242" s="287">
        <f t="shared" si="79"/>
        <v>16</v>
      </c>
      <c r="K242" s="288">
        <f t="shared" si="71"/>
        <v>190</v>
      </c>
      <c r="L242" s="289">
        <f t="shared" si="72"/>
        <v>5753</v>
      </c>
      <c r="M242" s="290">
        <f t="shared" si="67"/>
        <v>0</v>
      </c>
      <c r="N242" s="290" t="e">
        <f t="shared" si="68"/>
        <v>#NUM!</v>
      </c>
      <c r="O242" s="290">
        <f t="shared" si="60"/>
        <v>0</v>
      </c>
      <c r="P242" s="290">
        <f t="shared" si="61"/>
        <v>0</v>
      </c>
      <c r="Q242" s="291">
        <f t="shared" si="62"/>
        <v>0</v>
      </c>
      <c r="S242" s="287">
        <f t="shared" si="80"/>
        <v>16</v>
      </c>
      <c r="T242" s="288">
        <f t="shared" si="73"/>
        <v>190</v>
      </c>
      <c r="U242" s="289">
        <f t="shared" si="74"/>
        <v>5753</v>
      </c>
      <c r="V242" s="290">
        <f t="shared" si="75"/>
        <v>0</v>
      </c>
      <c r="W242" s="290" t="e">
        <f t="shared" si="76"/>
        <v>#NUM!</v>
      </c>
      <c r="X242" s="290">
        <f t="shared" si="63"/>
        <v>0</v>
      </c>
      <c r="Y242" s="290" t="e">
        <f t="shared" si="64"/>
        <v>#NUM!</v>
      </c>
      <c r="Z242" s="290">
        <f t="shared" si="77"/>
        <v>0</v>
      </c>
      <c r="AA242" s="291"/>
      <c r="AC242"/>
      <c r="AD242"/>
      <c r="AE242"/>
      <c r="AF242"/>
      <c r="AG242"/>
      <c r="AH242"/>
      <c r="AI242"/>
      <c r="AJ242"/>
    </row>
    <row r="243" spans="1:36" hidden="1">
      <c r="A243" s="292">
        <f t="shared" si="78"/>
        <v>16</v>
      </c>
      <c r="B243" s="293">
        <f t="shared" si="69"/>
        <v>191</v>
      </c>
      <c r="C243" s="294">
        <f t="shared" si="70"/>
        <v>51836</v>
      </c>
      <c r="D243" s="295">
        <f t="shared" si="65"/>
        <v>3484196.9267293219</v>
      </c>
      <c r="E243" s="295">
        <f t="shared" si="66"/>
        <v>-30010.234142609712</v>
      </c>
      <c r="F243" s="295">
        <f t="shared" si="57"/>
        <v>-13315.123868698383</v>
      </c>
      <c r="G243" s="295">
        <f t="shared" si="58"/>
        <v>-16695.11027391133</v>
      </c>
      <c r="H243" s="296">
        <f t="shared" si="59"/>
        <v>3470881.8028606237</v>
      </c>
      <c r="J243" s="292">
        <f t="shared" si="79"/>
        <v>16</v>
      </c>
      <c r="K243" s="293">
        <f t="shared" si="71"/>
        <v>191</v>
      </c>
      <c r="L243" s="294">
        <f t="shared" si="72"/>
        <v>5784</v>
      </c>
      <c r="M243" s="295">
        <f t="shared" si="67"/>
        <v>0</v>
      </c>
      <c r="N243" s="295" t="e">
        <f t="shared" si="68"/>
        <v>#NUM!</v>
      </c>
      <c r="O243" s="295">
        <f t="shared" si="60"/>
        <v>0</v>
      </c>
      <c r="P243" s="295">
        <f t="shared" si="61"/>
        <v>0</v>
      </c>
      <c r="Q243" s="296">
        <f t="shared" si="62"/>
        <v>0</v>
      </c>
      <c r="S243" s="292">
        <f t="shared" si="80"/>
        <v>16</v>
      </c>
      <c r="T243" s="293">
        <f t="shared" si="73"/>
        <v>191</v>
      </c>
      <c r="U243" s="294">
        <f t="shared" si="74"/>
        <v>5784</v>
      </c>
      <c r="V243" s="295">
        <f t="shared" si="75"/>
        <v>0</v>
      </c>
      <c r="W243" s="290" t="e">
        <f t="shared" si="76"/>
        <v>#NUM!</v>
      </c>
      <c r="X243" s="295">
        <f t="shared" si="63"/>
        <v>0</v>
      </c>
      <c r="Y243" s="295" t="e">
        <f t="shared" si="64"/>
        <v>#NUM!</v>
      </c>
      <c r="Z243" s="295">
        <f t="shared" si="77"/>
        <v>0</v>
      </c>
      <c r="AA243" s="296"/>
      <c r="AC243"/>
      <c r="AD243"/>
      <c r="AE243"/>
      <c r="AF243"/>
      <c r="AG243"/>
      <c r="AH243"/>
      <c r="AI243"/>
      <c r="AJ243"/>
    </row>
    <row r="244" spans="1:36" hidden="1">
      <c r="A244" s="287">
        <f t="shared" si="78"/>
        <v>16</v>
      </c>
      <c r="B244" s="288">
        <f t="shared" si="69"/>
        <v>192</v>
      </c>
      <c r="C244" s="289">
        <f t="shared" si="70"/>
        <v>51867</v>
      </c>
      <c r="D244" s="290">
        <f t="shared" si="65"/>
        <v>3470881.8028606237</v>
      </c>
      <c r="E244" s="290">
        <f t="shared" si="66"/>
        <v>-30010.234142609712</v>
      </c>
      <c r="F244" s="290">
        <f t="shared" si="57"/>
        <v>-13378.925503902565</v>
      </c>
      <c r="G244" s="290">
        <f t="shared" si="58"/>
        <v>-16631.308638707149</v>
      </c>
      <c r="H244" s="291">
        <f t="shared" si="59"/>
        <v>3457502.8773567211</v>
      </c>
      <c r="J244" s="287">
        <f t="shared" si="79"/>
        <v>16</v>
      </c>
      <c r="K244" s="288">
        <f t="shared" si="71"/>
        <v>192</v>
      </c>
      <c r="L244" s="289">
        <f t="shared" si="72"/>
        <v>5814</v>
      </c>
      <c r="M244" s="290">
        <f t="shared" si="67"/>
        <v>0</v>
      </c>
      <c r="N244" s="290" t="e">
        <f t="shared" si="68"/>
        <v>#NUM!</v>
      </c>
      <c r="O244" s="290">
        <f t="shared" si="60"/>
        <v>0</v>
      </c>
      <c r="P244" s="290">
        <f t="shared" si="61"/>
        <v>0</v>
      </c>
      <c r="Q244" s="291">
        <f t="shared" si="62"/>
        <v>0</v>
      </c>
      <c r="S244" s="287">
        <f t="shared" si="80"/>
        <v>16</v>
      </c>
      <c r="T244" s="288">
        <f t="shared" si="73"/>
        <v>192</v>
      </c>
      <c r="U244" s="289">
        <f t="shared" si="74"/>
        <v>5814</v>
      </c>
      <c r="V244" s="290">
        <f t="shared" si="75"/>
        <v>0</v>
      </c>
      <c r="W244" s="290" t="e">
        <f t="shared" si="76"/>
        <v>#NUM!</v>
      </c>
      <c r="X244" s="290">
        <f t="shared" si="63"/>
        <v>0</v>
      </c>
      <c r="Y244" s="290" t="e">
        <f t="shared" si="64"/>
        <v>#NUM!</v>
      </c>
      <c r="Z244" s="290">
        <f t="shared" si="77"/>
        <v>0</v>
      </c>
      <c r="AA244" s="291"/>
      <c r="AC244"/>
      <c r="AD244"/>
      <c r="AE244"/>
      <c r="AF244"/>
      <c r="AG244"/>
      <c r="AH244"/>
      <c r="AI244"/>
      <c r="AJ244"/>
    </row>
    <row r="245" spans="1:36" hidden="1">
      <c r="A245" s="292">
        <f t="shared" si="78"/>
        <v>17</v>
      </c>
      <c r="B245" s="293">
        <f t="shared" si="69"/>
        <v>193</v>
      </c>
      <c r="C245" s="294">
        <f t="shared" si="70"/>
        <v>51898</v>
      </c>
      <c r="D245" s="295">
        <f t="shared" si="65"/>
        <v>3457502.8773567211</v>
      </c>
      <c r="E245" s="295">
        <f t="shared" si="66"/>
        <v>-30010.234142609712</v>
      </c>
      <c r="F245" s="295">
        <f t="shared" ref="F245:F308" si="81">IF(AND(SwitchRefi="Yes",OR(C245=0,C245&gt;=$I$10)),0,IFERROR(PPMT(IF(SwitchCompound="Monthly",$E$13/12,($E$13/2+1)^(2/12)-1),B245,$E$17*12,$D$53),0))</f>
        <v>-13443.032855275431</v>
      </c>
      <c r="G245" s="295">
        <f t="shared" ref="G245:G308" si="82">IF(AND(SwitchRefi="Yes",OR(C245=0,C245&gt;=$I$10)),0,IFERROR(IPMT(IF(SwitchCompound="Monthly",$E$13/12,($E$13/2+1)^(2/12)-1),IF(B245=0,1,B245),$E$17*12,$D$53),0))</f>
        <v>-16567.201287334279</v>
      </c>
      <c r="H245" s="298">
        <f t="shared" ref="H245:H308" si="83">IF(AND(SwitchRefi="Yes",C245&gt;=$I$10),0,D245+F245)</f>
        <v>3444059.8445014455</v>
      </c>
      <c r="J245" s="292">
        <f t="shared" si="79"/>
        <v>17</v>
      </c>
      <c r="K245" s="293">
        <f t="shared" si="71"/>
        <v>193</v>
      </c>
      <c r="L245" s="294">
        <f t="shared" si="72"/>
        <v>5845</v>
      </c>
      <c r="M245" s="295">
        <f t="shared" si="67"/>
        <v>0</v>
      </c>
      <c r="N245" s="295" t="e">
        <f t="shared" si="68"/>
        <v>#NUM!</v>
      </c>
      <c r="O245" s="295">
        <f t="shared" ref="O245:O308" si="84">IF(AND(SwitchRefi="Yes",OR(L245=0,L245&gt;=$I$10)),0,IFERROR(PPMT(IF(SwitchCompound="Monthly",$G$13/12,($G$13/2+1)^(2/12)-1),K245,$G$17*12,$M$53),0))</f>
        <v>0</v>
      </c>
      <c r="P245" s="295">
        <f t="shared" ref="P245:P308" si="85">IF(AND(SwitchRefi="Yes",OR(L245=0,L245&gt;=$I$10)),0,IFERROR(IPMT(IF(SwitchCompound="Monthly",$G$13/12,($G$13/2+1)^(2/12)-1),IF(K245=0,1,K245),$G$17*12,$M$53),0))</f>
        <v>0</v>
      </c>
      <c r="Q245" s="298">
        <f t="shared" ref="Q245:Q308" si="86">IF(AND(SwitchRefi="Yes",L245&gt;=$I$10),0,M245+O245)</f>
        <v>0</v>
      </c>
      <c r="S245" s="292">
        <f t="shared" si="80"/>
        <v>17</v>
      </c>
      <c r="T245" s="293">
        <f t="shared" si="73"/>
        <v>193</v>
      </c>
      <c r="U245" s="294">
        <f t="shared" si="74"/>
        <v>5845</v>
      </c>
      <c r="V245" s="295">
        <f t="shared" si="75"/>
        <v>0</v>
      </c>
      <c r="W245" s="290" t="e">
        <f t="shared" si="76"/>
        <v>#NUM!</v>
      </c>
      <c r="X245" s="295">
        <f t="shared" ref="X245:X308" si="87">IFERROR(PPMT(IF(SwitchCompound="Monthly",$I$13/12,($I$13/2+1)^(2/12)-1),T245,$I$17*12,$V$53),0)</f>
        <v>0</v>
      </c>
      <c r="Y245" s="295" t="e">
        <f t="shared" ref="Y245:Y308" si="88">IPMT(IF(SwitchCompound="Monthly",$I$13/12,($I$13/2+1)^(2/12)-1),IF(T245=0,1,T245),$I$17*12,$V$53)</f>
        <v>#NUM!</v>
      </c>
      <c r="Z245" s="295">
        <f t="shared" si="77"/>
        <v>0</v>
      </c>
      <c r="AA245" s="298"/>
      <c r="AC245"/>
      <c r="AD245"/>
      <c r="AE245"/>
      <c r="AF245"/>
      <c r="AG245"/>
      <c r="AH245"/>
      <c r="AI245"/>
      <c r="AJ245"/>
    </row>
    <row r="246" spans="1:36" hidden="1">
      <c r="A246" s="287">
        <f t="shared" si="78"/>
        <v>17</v>
      </c>
      <c r="B246" s="288">
        <f t="shared" si="69"/>
        <v>194</v>
      </c>
      <c r="C246" s="289">
        <f t="shared" si="70"/>
        <v>51926</v>
      </c>
      <c r="D246" s="290">
        <f t="shared" ref="D246:D309" si="89">IF(AND(SwitchRefi="Yes",C246&gt;=$I$10),0,H245)</f>
        <v>3444059.8445014455</v>
      </c>
      <c r="E246" s="290">
        <f t="shared" ref="E246:E309" si="90">IF(AND(SwitchRefi="Yes",OR(C246=0,C246&gt;=$I$10)),0,$E$53)</f>
        <v>-30010.234142609712</v>
      </c>
      <c r="F246" s="290">
        <f t="shared" si="81"/>
        <v>-13507.447387706959</v>
      </c>
      <c r="G246" s="290">
        <f t="shared" si="82"/>
        <v>-16502.786754902754</v>
      </c>
      <c r="H246" s="291">
        <f t="shared" si="83"/>
        <v>3430552.3971137386</v>
      </c>
      <c r="J246" s="287">
        <f t="shared" si="79"/>
        <v>17</v>
      </c>
      <c r="K246" s="288">
        <f t="shared" si="71"/>
        <v>194</v>
      </c>
      <c r="L246" s="289">
        <f t="shared" si="72"/>
        <v>5876</v>
      </c>
      <c r="M246" s="290">
        <f t="shared" ref="M246:M309" si="91">IF(AND(SwitchRefi="Yes",L246&gt;=$I$10),0,Q245)</f>
        <v>0</v>
      </c>
      <c r="N246" s="290" t="e">
        <f t="shared" ref="N246:N309" si="92">IF(AND(SwitchRefi="Yes",OR(L246=0,L246&gt;=$I$10)),0,$N$53)</f>
        <v>#NUM!</v>
      </c>
      <c r="O246" s="290">
        <f t="shared" si="84"/>
        <v>0</v>
      </c>
      <c r="P246" s="290">
        <f t="shared" si="85"/>
        <v>0</v>
      </c>
      <c r="Q246" s="291">
        <f t="shared" si="86"/>
        <v>0</v>
      </c>
      <c r="S246" s="287">
        <f t="shared" si="80"/>
        <v>17</v>
      </c>
      <c r="T246" s="288">
        <f t="shared" si="73"/>
        <v>194</v>
      </c>
      <c r="U246" s="289">
        <f t="shared" si="74"/>
        <v>5876</v>
      </c>
      <c r="V246" s="290">
        <f t="shared" si="75"/>
        <v>0</v>
      </c>
      <c r="W246" s="290" t="e">
        <f t="shared" si="76"/>
        <v>#NUM!</v>
      </c>
      <c r="X246" s="290">
        <f t="shared" si="87"/>
        <v>0</v>
      </c>
      <c r="Y246" s="290" t="e">
        <f t="shared" si="88"/>
        <v>#NUM!</v>
      </c>
      <c r="Z246" s="290">
        <f t="shared" si="77"/>
        <v>0</v>
      </c>
      <c r="AA246" s="291"/>
      <c r="AC246"/>
      <c r="AD246"/>
      <c r="AE246"/>
      <c r="AF246"/>
      <c r="AG246"/>
      <c r="AH246"/>
      <c r="AI246"/>
      <c r="AJ246"/>
    </row>
    <row r="247" spans="1:36" hidden="1">
      <c r="A247" s="292">
        <f t="shared" si="78"/>
        <v>17</v>
      </c>
      <c r="B247" s="293">
        <f t="shared" ref="B247:B310" si="93">IF(B246=0,IF(C247&lt;$C$413,0,B246+1),IF(C246&gt;=$C$413,B246+1,0))</f>
        <v>195</v>
      </c>
      <c r="C247" s="294">
        <f t="shared" ref="C247:C310" si="94">EDATE(C246,1)</f>
        <v>51957</v>
      </c>
      <c r="D247" s="295">
        <f t="shared" si="89"/>
        <v>3430552.3971137386</v>
      </c>
      <c r="E247" s="295">
        <f t="shared" si="90"/>
        <v>-30010.234142609712</v>
      </c>
      <c r="F247" s="295">
        <f t="shared" si="81"/>
        <v>-13572.17057310639</v>
      </c>
      <c r="G247" s="295">
        <f t="shared" si="82"/>
        <v>-16438.063569503323</v>
      </c>
      <c r="H247" s="296">
        <f t="shared" si="83"/>
        <v>3416980.2265406321</v>
      </c>
      <c r="J247" s="292">
        <f t="shared" si="79"/>
        <v>17</v>
      </c>
      <c r="K247" s="293">
        <f t="shared" ref="K247:K310" si="95">IF(K246=0,IF(L247&lt;$L$413,0,K246+1),IF(L246&gt;=$L$413,K246+1,0))</f>
        <v>195</v>
      </c>
      <c r="L247" s="294">
        <f t="shared" ref="L247:L310" si="96">EDATE(L246,1)</f>
        <v>5905</v>
      </c>
      <c r="M247" s="295">
        <f t="shared" si="91"/>
        <v>0</v>
      </c>
      <c r="N247" s="295" t="e">
        <f t="shared" si="92"/>
        <v>#NUM!</v>
      </c>
      <c r="O247" s="295">
        <f t="shared" si="84"/>
        <v>0</v>
      </c>
      <c r="P247" s="295">
        <f t="shared" si="85"/>
        <v>0</v>
      </c>
      <c r="Q247" s="296">
        <f t="shared" si="86"/>
        <v>0</v>
      </c>
      <c r="S247" s="292">
        <f t="shared" si="80"/>
        <v>17</v>
      </c>
      <c r="T247" s="293">
        <f t="shared" ref="T247:T310" si="97">IF(T246=0,IF(U247&lt;$V$413,0,T246+1),IF(U246&gt;=$V$413,T246+1,0))</f>
        <v>195</v>
      </c>
      <c r="U247" s="294">
        <f t="shared" ref="U247:U310" si="98">EDATE(U246,1)</f>
        <v>5905</v>
      </c>
      <c r="V247" s="295">
        <f t="shared" ref="V247:V310" si="99">Z246</f>
        <v>0</v>
      </c>
      <c r="W247" s="290" t="e">
        <f t="shared" ref="W247:W310" si="100">$W$53</f>
        <v>#NUM!</v>
      </c>
      <c r="X247" s="295">
        <f t="shared" si="87"/>
        <v>0</v>
      </c>
      <c r="Y247" s="295" t="e">
        <f t="shared" si="88"/>
        <v>#NUM!</v>
      </c>
      <c r="Z247" s="295">
        <f t="shared" si="77"/>
        <v>0</v>
      </c>
      <c r="AA247" s="296"/>
      <c r="AC247"/>
      <c r="AD247"/>
      <c r="AE247"/>
      <c r="AF247"/>
      <c r="AG247"/>
      <c r="AH247"/>
      <c r="AI247"/>
      <c r="AJ247"/>
    </row>
    <row r="248" spans="1:36" hidden="1">
      <c r="A248" s="287">
        <f t="shared" si="78"/>
        <v>17</v>
      </c>
      <c r="B248" s="288">
        <f t="shared" si="93"/>
        <v>196</v>
      </c>
      <c r="C248" s="289">
        <f t="shared" si="94"/>
        <v>51987</v>
      </c>
      <c r="D248" s="290">
        <f t="shared" si="89"/>
        <v>3416980.2265406321</v>
      </c>
      <c r="E248" s="290">
        <f t="shared" si="90"/>
        <v>-30010.234142609712</v>
      </c>
      <c r="F248" s="290">
        <f t="shared" si="81"/>
        <v>-13637.203890435856</v>
      </c>
      <c r="G248" s="290">
        <f t="shared" si="82"/>
        <v>-16373.030252173854</v>
      </c>
      <c r="H248" s="291">
        <f t="shared" si="83"/>
        <v>3403343.0226501962</v>
      </c>
      <c r="J248" s="287">
        <f t="shared" si="79"/>
        <v>17</v>
      </c>
      <c r="K248" s="288">
        <f t="shared" si="95"/>
        <v>196</v>
      </c>
      <c r="L248" s="289">
        <f t="shared" si="96"/>
        <v>5936</v>
      </c>
      <c r="M248" s="290">
        <f t="shared" si="91"/>
        <v>0</v>
      </c>
      <c r="N248" s="290" t="e">
        <f t="shared" si="92"/>
        <v>#NUM!</v>
      </c>
      <c r="O248" s="290">
        <f t="shared" si="84"/>
        <v>0</v>
      </c>
      <c r="P248" s="290">
        <f t="shared" si="85"/>
        <v>0</v>
      </c>
      <c r="Q248" s="291">
        <f t="shared" si="86"/>
        <v>0</v>
      </c>
      <c r="S248" s="287">
        <f t="shared" si="80"/>
        <v>17</v>
      </c>
      <c r="T248" s="288">
        <f t="shared" si="97"/>
        <v>196</v>
      </c>
      <c r="U248" s="289">
        <f t="shared" si="98"/>
        <v>5936</v>
      </c>
      <c r="V248" s="290">
        <f t="shared" si="99"/>
        <v>0</v>
      </c>
      <c r="W248" s="290" t="e">
        <f t="shared" si="100"/>
        <v>#NUM!</v>
      </c>
      <c r="X248" s="290">
        <f t="shared" si="87"/>
        <v>0</v>
      </c>
      <c r="Y248" s="290" t="e">
        <f t="shared" si="88"/>
        <v>#NUM!</v>
      </c>
      <c r="Z248" s="290">
        <f t="shared" si="77"/>
        <v>0</v>
      </c>
      <c r="AA248" s="291"/>
      <c r="AC248"/>
      <c r="AD248"/>
      <c r="AE248"/>
      <c r="AF248"/>
      <c r="AG248"/>
      <c r="AH248"/>
      <c r="AI248"/>
      <c r="AJ248"/>
    </row>
    <row r="249" spans="1:36" hidden="1">
      <c r="A249" s="292">
        <f t="shared" si="78"/>
        <v>17</v>
      </c>
      <c r="B249" s="293">
        <f t="shared" si="93"/>
        <v>197</v>
      </c>
      <c r="C249" s="294">
        <f t="shared" si="94"/>
        <v>52018</v>
      </c>
      <c r="D249" s="295">
        <f t="shared" si="89"/>
        <v>3403343.0226501962</v>
      </c>
      <c r="E249" s="295">
        <f t="shared" si="90"/>
        <v>-30010.234142609712</v>
      </c>
      <c r="F249" s="295">
        <f t="shared" si="81"/>
        <v>-13702.548825744194</v>
      </c>
      <c r="G249" s="295">
        <f t="shared" si="82"/>
        <v>-16307.685316865518</v>
      </c>
      <c r="H249" s="298">
        <f t="shared" si="83"/>
        <v>3389640.4738244521</v>
      </c>
      <c r="J249" s="292">
        <f t="shared" si="79"/>
        <v>17</v>
      </c>
      <c r="K249" s="293">
        <f t="shared" si="95"/>
        <v>197</v>
      </c>
      <c r="L249" s="294">
        <f t="shared" si="96"/>
        <v>5966</v>
      </c>
      <c r="M249" s="295">
        <f t="shared" si="91"/>
        <v>0</v>
      </c>
      <c r="N249" s="295" t="e">
        <f t="shared" si="92"/>
        <v>#NUM!</v>
      </c>
      <c r="O249" s="295">
        <f t="shared" si="84"/>
        <v>0</v>
      </c>
      <c r="P249" s="295">
        <f t="shared" si="85"/>
        <v>0</v>
      </c>
      <c r="Q249" s="298">
        <f t="shared" si="86"/>
        <v>0</v>
      </c>
      <c r="S249" s="292">
        <f t="shared" si="80"/>
        <v>17</v>
      </c>
      <c r="T249" s="293">
        <f t="shared" si="97"/>
        <v>197</v>
      </c>
      <c r="U249" s="294">
        <f t="shared" si="98"/>
        <v>5966</v>
      </c>
      <c r="V249" s="295">
        <f t="shared" si="99"/>
        <v>0</v>
      </c>
      <c r="W249" s="290" t="e">
        <f t="shared" si="100"/>
        <v>#NUM!</v>
      </c>
      <c r="X249" s="295">
        <f t="shared" si="87"/>
        <v>0</v>
      </c>
      <c r="Y249" s="295" t="e">
        <f t="shared" si="88"/>
        <v>#NUM!</v>
      </c>
      <c r="Z249" s="295">
        <f t="shared" si="77"/>
        <v>0</v>
      </c>
      <c r="AA249" s="298"/>
      <c r="AC249"/>
      <c r="AD249"/>
      <c r="AE249"/>
      <c r="AF249"/>
      <c r="AG249"/>
      <c r="AH249"/>
      <c r="AI249"/>
      <c r="AJ249"/>
    </row>
    <row r="250" spans="1:36" hidden="1">
      <c r="A250" s="287">
        <f t="shared" si="78"/>
        <v>17</v>
      </c>
      <c r="B250" s="288">
        <f t="shared" si="93"/>
        <v>198</v>
      </c>
      <c r="C250" s="289">
        <f t="shared" si="94"/>
        <v>52048</v>
      </c>
      <c r="D250" s="290">
        <f t="shared" si="89"/>
        <v>3389640.4738244521</v>
      </c>
      <c r="E250" s="290">
        <f t="shared" si="90"/>
        <v>-30010.234142609712</v>
      </c>
      <c r="F250" s="290">
        <f t="shared" si="81"/>
        <v>-13768.206872200886</v>
      </c>
      <c r="G250" s="290">
        <f t="shared" si="82"/>
        <v>-16242.027270408826</v>
      </c>
      <c r="H250" s="291">
        <f t="shared" si="83"/>
        <v>3375872.2669522511</v>
      </c>
      <c r="J250" s="287">
        <f t="shared" si="79"/>
        <v>17</v>
      </c>
      <c r="K250" s="288">
        <f t="shared" si="95"/>
        <v>198</v>
      </c>
      <c r="L250" s="289">
        <f t="shared" si="96"/>
        <v>5997</v>
      </c>
      <c r="M250" s="290">
        <f t="shared" si="91"/>
        <v>0</v>
      </c>
      <c r="N250" s="290" t="e">
        <f t="shared" si="92"/>
        <v>#NUM!</v>
      </c>
      <c r="O250" s="290">
        <f t="shared" si="84"/>
        <v>0</v>
      </c>
      <c r="P250" s="290">
        <f t="shared" si="85"/>
        <v>0</v>
      </c>
      <c r="Q250" s="291">
        <f t="shared" si="86"/>
        <v>0</v>
      </c>
      <c r="S250" s="287">
        <f t="shared" si="80"/>
        <v>17</v>
      </c>
      <c r="T250" s="288">
        <f t="shared" si="97"/>
        <v>198</v>
      </c>
      <c r="U250" s="289">
        <f t="shared" si="98"/>
        <v>5997</v>
      </c>
      <c r="V250" s="290">
        <f t="shared" si="99"/>
        <v>0</v>
      </c>
      <c r="W250" s="290" t="e">
        <f t="shared" si="100"/>
        <v>#NUM!</v>
      </c>
      <c r="X250" s="290">
        <f t="shared" si="87"/>
        <v>0</v>
      </c>
      <c r="Y250" s="290" t="e">
        <f t="shared" si="88"/>
        <v>#NUM!</v>
      </c>
      <c r="Z250" s="290">
        <f t="shared" si="77"/>
        <v>0</v>
      </c>
      <c r="AA250" s="291"/>
      <c r="AC250"/>
      <c r="AD250"/>
      <c r="AE250"/>
      <c r="AF250"/>
      <c r="AG250"/>
      <c r="AH250"/>
      <c r="AI250"/>
      <c r="AJ250"/>
    </row>
    <row r="251" spans="1:36" hidden="1">
      <c r="A251" s="292">
        <f t="shared" si="78"/>
        <v>17</v>
      </c>
      <c r="B251" s="293">
        <f t="shared" si="93"/>
        <v>199</v>
      </c>
      <c r="C251" s="294">
        <f t="shared" si="94"/>
        <v>52079</v>
      </c>
      <c r="D251" s="295">
        <f t="shared" si="89"/>
        <v>3375872.2669522511</v>
      </c>
      <c r="E251" s="295">
        <f t="shared" si="90"/>
        <v>-30010.234142609712</v>
      </c>
      <c r="F251" s="295">
        <f t="shared" si="81"/>
        <v>-13834.179530130181</v>
      </c>
      <c r="G251" s="295">
        <f t="shared" si="82"/>
        <v>-16176.054612479531</v>
      </c>
      <c r="H251" s="296">
        <f t="shared" si="83"/>
        <v>3362038.0874221209</v>
      </c>
      <c r="J251" s="292">
        <f t="shared" si="79"/>
        <v>17</v>
      </c>
      <c r="K251" s="293">
        <f t="shared" si="95"/>
        <v>199</v>
      </c>
      <c r="L251" s="294">
        <f t="shared" si="96"/>
        <v>6027</v>
      </c>
      <c r="M251" s="295">
        <f t="shared" si="91"/>
        <v>0</v>
      </c>
      <c r="N251" s="295" t="e">
        <f t="shared" si="92"/>
        <v>#NUM!</v>
      </c>
      <c r="O251" s="295">
        <f t="shared" si="84"/>
        <v>0</v>
      </c>
      <c r="P251" s="295">
        <f t="shared" si="85"/>
        <v>0</v>
      </c>
      <c r="Q251" s="296">
        <f t="shared" si="86"/>
        <v>0</v>
      </c>
      <c r="S251" s="292">
        <f t="shared" si="80"/>
        <v>17</v>
      </c>
      <c r="T251" s="293">
        <f t="shared" si="97"/>
        <v>199</v>
      </c>
      <c r="U251" s="294">
        <f t="shared" si="98"/>
        <v>6027</v>
      </c>
      <c r="V251" s="295">
        <f t="shared" si="99"/>
        <v>0</v>
      </c>
      <c r="W251" s="290" t="e">
        <f t="shared" si="100"/>
        <v>#NUM!</v>
      </c>
      <c r="X251" s="295">
        <f t="shared" si="87"/>
        <v>0</v>
      </c>
      <c r="Y251" s="295" t="e">
        <f t="shared" si="88"/>
        <v>#NUM!</v>
      </c>
      <c r="Z251" s="295">
        <f t="shared" ref="Z251:Z314" si="101">V251+X251</f>
        <v>0</v>
      </c>
      <c r="AA251" s="296"/>
      <c r="AC251"/>
      <c r="AD251"/>
      <c r="AE251"/>
      <c r="AF251"/>
      <c r="AG251"/>
      <c r="AH251"/>
      <c r="AI251"/>
      <c r="AJ251"/>
    </row>
    <row r="252" spans="1:36" hidden="1">
      <c r="A252" s="287">
        <f t="shared" si="78"/>
        <v>17</v>
      </c>
      <c r="B252" s="288">
        <f t="shared" si="93"/>
        <v>200</v>
      </c>
      <c r="C252" s="289">
        <f t="shared" si="94"/>
        <v>52110</v>
      </c>
      <c r="D252" s="290">
        <f t="shared" si="89"/>
        <v>3362038.0874221209</v>
      </c>
      <c r="E252" s="290">
        <f t="shared" si="90"/>
        <v>-30010.234142609712</v>
      </c>
      <c r="F252" s="290">
        <f t="shared" si="81"/>
        <v>-13900.468307045388</v>
      </c>
      <c r="G252" s="290">
        <f t="shared" si="82"/>
        <v>-16109.765835564323</v>
      </c>
      <c r="H252" s="291">
        <f t="shared" si="83"/>
        <v>3348137.6191150756</v>
      </c>
      <c r="J252" s="287">
        <f t="shared" si="79"/>
        <v>17</v>
      </c>
      <c r="K252" s="288">
        <f t="shared" si="95"/>
        <v>200</v>
      </c>
      <c r="L252" s="289">
        <f t="shared" si="96"/>
        <v>6058</v>
      </c>
      <c r="M252" s="290">
        <f t="shared" si="91"/>
        <v>0</v>
      </c>
      <c r="N252" s="290" t="e">
        <f t="shared" si="92"/>
        <v>#NUM!</v>
      </c>
      <c r="O252" s="290">
        <f t="shared" si="84"/>
        <v>0</v>
      </c>
      <c r="P252" s="290">
        <f t="shared" si="85"/>
        <v>0</v>
      </c>
      <c r="Q252" s="291">
        <f t="shared" si="86"/>
        <v>0</v>
      </c>
      <c r="S252" s="287">
        <f t="shared" si="80"/>
        <v>17</v>
      </c>
      <c r="T252" s="288">
        <f t="shared" si="97"/>
        <v>200</v>
      </c>
      <c r="U252" s="289">
        <f t="shared" si="98"/>
        <v>6058</v>
      </c>
      <c r="V252" s="290">
        <f t="shared" si="99"/>
        <v>0</v>
      </c>
      <c r="W252" s="290" t="e">
        <f t="shared" si="100"/>
        <v>#NUM!</v>
      </c>
      <c r="X252" s="290">
        <f t="shared" si="87"/>
        <v>0</v>
      </c>
      <c r="Y252" s="290" t="e">
        <f t="shared" si="88"/>
        <v>#NUM!</v>
      </c>
      <c r="Z252" s="290">
        <f t="shared" si="101"/>
        <v>0</v>
      </c>
      <c r="AA252" s="291"/>
      <c r="AC252"/>
      <c r="AD252"/>
      <c r="AE252"/>
      <c r="AF252"/>
      <c r="AG252"/>
      <c r="AH252"/>
      <c r="AI252"/>
      <c r="AJ252"/>
    </row>
    <row r="253" spans="1:36" hidden="1">
      <c r="A253" s="292">
        <f t="shared" si="78"/>
        <v>17</v>
      </c>
      <c r="B253" s="293">
        <f t="shared" si="93"/>
        <v>201</v>
      </c>
      <c r="C253" s="294">
        <f t="shared" si="94"/>
        <v>52140</v>
      </c>
      <c r="D253" s="295">
        <f t="shared" si="89"/>
        <v>3348137.6191150756</v>
      </c>
      <c r="E253" s="295">
        <f t="shared" si="90"/>
        <v>-30010.234142609712</v>
      </c>
      <c r="F253" s="295">
        <f t="shared" si="81"/>
        <v>-13967.074717683314</v>
      </c>
      <c r="G253" s="295">
        <f t="shared" si="82"/>
        <v>-16043.159424926398</v>
      </c>
      <c r="H253" s="298">
        <f t="shared" si="83"/>
        <v>3334170.5443973923</v>
      </c>
      <c r="J253" s="292">
        <f t="shared" si="79"/>
        <v>17</v>
      </c>
      <c r="K253" s="293">
        <f t="shared" si="95"/>
        <v>201</v>
      </c>
      <c r="L253" s="294">
        <f t="shared" si="96"/>
        <v>6089</v>
      </c>
      <c r="M253" s="295">
        <f t="shared" si="91"/>
        <v>0</v>
      </c>
      <c r="N253" s="295" t="e">
        <f t="shared" si="92"/>
        <v>#NUM!</v>
      </c>
      <c r="O253" s="295">
        <f t="shared" si="84"/>
        <v>0</v>
      </c>
      <c r="P253" s="295">
        <f t="shared" si="85"/>
        <v>0</v>
      </c>
      <c r="Q253" s="298">
        <f t="shared" si="86"/>
        <v>0</v>
      </c>
      <c r="S253" s="292">
        <f t="shared" si="80"/>
        <v>17</v>
      </c>
      <c r="T253" s="293">
        <f t="shared" si="97"/>
        <v>201</v>
      </c>
      <c r="U253" s="294">
        <f t="shared" si="98"/>
        <v>6089</v>
      </c>
      <c r="V253" s="295">
        <f t="shared" si="99"/>
        <v>0</v>
      </c>
      <c r="W253" s="290" t="e">
        <f t="shared" si="100"/>
        <v>#NUM!</v>
      </c>
      <c r="X253" s="295">
        <f t="shared" si="87"/>
        <v>0</v>
      </c>
      <c r="Y253" s="295" t="e">
        <f t="shared" si="88"/>
        <v>#NUM!</v>
      </c>
      <c r="Z253" s="295">
        <f t="shared" si="101"/>
        <v>0</v>
      </c>
      <c r="AA253" s="298"/>
      <c r="AC253"/>
      <c r="AD253"/>
      <c r="AE253"/>
      <c r="AF253"/>
      <c r="AG253"/>
      <c r="AH253"/>
      <c r="AI253"/>
      <c r="AJ253"/>
    </row>
    <row r="254" spans="1:36" hidden="1">
      <c r="A254" s="287">
        <f t="shared" si="78"/>
        <v>17</v>
      </c>
      <c r="B254" s="288">
        <f t="shared" si="93"/>
        <v>202</v>
      </c>
      <c r="C254" s="289">
        <f t="shared" si="94"/>
        <v>52171</v>
      </c>
      <c r="D254" s="290">
        <f t="shared" si="89"/>
        <v>3334170.5443973923</v>
      </c>
      <c r="E254" s="290">
        <f t="shared" si="90"/>
        <v>-30010.234142609712</v>
      </c>
      <c r="F254" s="290">
        <f t="shared" si="81"/>
        <v>-14034.000284038882</v>
      </c>
      <c r="G254" s="290">
        <f t="shared" si="82"/>
        <v>-15976.233858570831</v>
      </c>
      <c r="H254" s="291">
        <f t="shared" si="83"/>
        <v>3320136.5441133534</v>
      </c>
      <c r="J254" s="287">
        <f t="shared" si="79"/>
        <v>17</v>
      </c>
      <c r="K254" s="288">
        <f t="shared" si="95"/>
        <v>202</v>
      </c>
      <c r="L254" s="289">
        <f t="shared" si="96"/>
        <v>6119</v>
      </c>
      <c r="M254" s="290">
        <f t="shared" si="91"/>
        <v>0</v>
      </c>
      <c r="N254" s="290" t="e">
        <f t="shared" si="92"/>
        <v>#NUM!</v>
      </c>
      <c r="O254" s="290">
        <f t="shared" si="84"/>
        <v>0</v>
      </c>
      <c r="P254" s="290">
        <f t="shared" si="85"/>
        <v>0</v>
      </c>
      <c r="Q254" s="291">
        <f t="shared" si="86"/>
        <v>0</v>
      </c>
      <c r="S254" s="287">
        <f t="shared" si="80"/>
        <v>17</v>
      </c>
      <c r="T254" s="288">
        <f t="shared" si="97"/>
        <v>202</v>
      </c>
      <c r="U254" s="289">
        <f t="shared" si="98"/>
        <v>6119</v>
      </c>
      <c r="V254" s="290">
        <f t="shared" si="99"/>
        <v>0</v>
      </c>
      <c r="W254" s="290" t="e">
        <f t="shared" si="100"/>
        <v>#NUM!</v>
      </c>
      <c r="X254" s="290">
        <f t="shared" si="87"/>
        <v>0</v>
      </c>
      <c r="Y254" s="290" t="e">
        <f t="shared" si="88"/>
        <v>#NUM!</v>
      </c>
      <c r="Z254" s="290">
        <f t="shared" si="101"/>
        <v>0</v>
      </c>
      <c r="AA254" s="291"/>
      <c r="AC254"/>
      <c r="AD254"/>
      <c r="AE254"/>
      <c r="AF254"/>
      <c r="AG254"/>
      <c r="AH254"/>
      <c r="AI254"/>
      <c r="AJ254"/>
    </row>
    <row r="255" spans="1:36" hidden="1">
      <c r="A255" s="292">
        <f t="shared" si="78"/>
        <v>17</v>
      </c>
      <c r="B255" s="293">
        <f t="shared" si="93"/>
        <v>203</v>
      </c>
      <c r="C255" s="294">
        <f t="shared" si="94"/>
        <v>52201</v>
      </c>
      <c r="D255" s="295">
        <f t="shared" si="89"/>
        <v>3320136.5441133534</v>
      </c>
      <c r="E255" s="295">
        <f t="shared" si="90"/>
        <v>-30010.234142609712</v>
      </c>
      <c r="F255" s="295">
        <f t="shared" si="81"/>
        <v>-14101.2465353999</v>
      </c>
      <c r="G255" s="295">
        <f t="shared" si="82"/>
        <v>-15908.987607209812</v>
      </c>
      <c r="H255" s="296">
        <f t="shared" si="83"/>
        <v>3306035.2975779534</v>
      </c>
      <c r="J255" s="292">
        <f t="shared" si="79"/>
        <v>17</v>
      </c>
      <c r="K255" s="293">
        <f t="shared" si="95"/>
        <v>203</v>
      </c>
      <c r="L255" s="294">
        <f t="shared" si="96"/>
        <v>6150</v>
      </c>
      <c r="M255" s="295">
        <f t="shared" si="91"/>
        <v>0</v>
      </c>
      <c r="N255" s="295" t="e">
        <f t="shared" si="92"/>
        <v>#NUM!</v>
      </c>
      <c r="O255" s="295">
        <f t="shared" si="84"/>
        <v>0</v>
      </c>
      <c r="P255" s="295">
        <f t="shared" si="85"/>
        <v>0</v>
      </c>
      <c r="Q255" s="296">
        <f t="shared" si="86"/>
        <v>0</v>
      </c>
      <c r="S255" s="292">
        <f t="shared" si="80"/>
        <v>17</v>
      </c>
      <c r="T255" s="293">
        <f t="shared" si="97"/>
        <v>203</v>
      </c>
      <c r="U255" s="294">
        <f t="shared" si="98"/>
        <v>6150</v>
      </c>
      <c r="V255" s="295">
        <f t="shared" si="99"/>
        <v>0</v>
      </c>
      <c r="W255" s="290" t="e">
        <f t="shared" si="100"/>
        <v>#NUM!</v>
      </c>
      <c r="X255" s="295">
        <f t="shared" si="87"/>
        <v>0</v>
      </c>
      <c r="Y255" s="295" t="e">
        <f t="shared" si="88"/>
        <v>#NUM!</v>
      </c>
      <c r="Z255" s="295">
        <f t="shared" si="101"/>
        <v>0</v>
      </c>
      <c r="AA255" s="296"/>
      <c r="AC255"/>
      <c r="AD255"/>
      <c r="AE255"/>
      <c r="AF255"/>
      <c r="AG255"/>
      <c r="AH255"/>
      <c r="AI255"/>
      <c r="AJ255"/>
    </row>
    <row r="256" spans="1:36" hidden="1">
      <c r="A256" s="287">
        <f t="shared" si="78"/>
        <v>17</v>
      </c>
      <c r="B256" s="288">
        <f t="shared" si="93"/>
        <v>204</v>
      </c>
      <c r="C256" s="289">
        <f t="shared" si="94"/>
        <v>52232</v>
      </c>
      <c r="D256" s="290">
        <f t="shared" si="89"/>
        <v>3306035.2975779534</v>
      </c>
      <c r="E256" s="290">
        <f t="shared" si="90"/>
        <v>-30010.234142609712</v>
      </c>
      <c r="F256" s="290">
        <f t="shared" si="81"/>
        <v>-14168.815008382024</v>
      </c>
      <c r="G256" s="290">
        <f t="shared" si="82"/>
        <v>-15841.419134227688</v>
      </c>
      <c r="H256" s="291">
        <f t="shared" si="83"/>
        <v>3291866.4825695716</v>
      </c>
      <c r="J256" s="287">
        <f t="shared" si="79"/>
        <v>17</v>
      </c>
      <c r="K256" s="288">
        <f t="shared" si="95"/>
        <v>204</v>
      </c>
      <c r="L256" s="289">
        <f t="shared" si="96"/>
        <v>6180</v>
      </c>
      <c r="M256" s="290">
        <f t="shared" si="91"/>
        <v>0</v>
      </c>
      <c r="N256" s="290" t="e">
        <f t="shared" si="92"/>
        <v>#NUM!</v>
      </c>
      <c r="O256" s="290">
        <f t="shared" si="84"/>
        <v>0</v>
      </c>
      <c r="P256" s="290">
        <f t="shared" si="85"/>
        <v>0</v>
      </c>
      <c r="Q256" s="291">
        <f t="shared" si="86"/>
        <v>0</v>
      </c>
      <c r="S256" s="287">
        <f t="shared" si="80"/>
        <v>17</v>
      </c>
      <c r="T256" s="288">
        <f t="shared" si="97"/>
        <v>204</v>
      </c>
      <c r="U256" s="289">
        <f t="shared" si="98"/>
        <v>6180</v>
      </c>
      <c r="V256" s="290">
        <f t="shared" si="99"/>
        <v>0</v>
      </c>
      <c r="W256" s="290" t="e">
        <f t="shared" si="100"/>
        <v>#NUM!</v>
      </c>
      <c r="X256" s="290">
        <f t="shared" si="87"/>
        <v>0</v>
      </c>
      <c r="Y256" s="290" t="e">
        <f t="shared" si="88"/>
        <v>#NUM!</v>
      </c>
      <c r="Z256" s="290">
        <f t="shared" si="101"/>
        <v>0</v>
      </c>
      <c r="AA256" s="291"/>
      <c r="AC256"/>
      <c r="AD256"/>
      <c r="AE256"/>
      <c r="AF256"/>
      <c r="AG256"/>
      <c r="AH256"/>
      <c r="AI256"/>
      <c r="AJ256"/>
    </row>
    <row r="257" spans="1:36" hidden="1">
      <c r="A257" s="292">
        <f t="shared" si="78"/>
        <v>18</v>
      </c>
      <c r="B257" s="293">
        <f t="shared" si="93"/>
        <v>205</v>
      </c>
      <c r="C257" s="294">
        <f t="shared" si="94"/>
        <v>52263</v>
      </c>
      <c r="D257" s="295">
        <f t="shared" si="89"/>
        <v>3291866.4825695716</v>
      </c>
      <c r="E257" s="295">
        <f t="shared" si="90"/>
        <v>-30010.234142609712</v>
      </c>
      <c r="F257" s="295">
        <f t="shared" si="81"/>
        <v>-14236.707246963857</v>
      </c>
      <c r="G257" s="295">
        <f t="shared" si="82"/>
        <v>-15773.526895645857</v>
      </c>
      <c r="H257" s="298">
        <f t="shared" si="83"/>
        <v>3277629.7753226077</v>
      </c>
      <c r="J257" s="292">
        <f t="shared" si="79"/>
        <v>18</v>
      </c>
      <c r="K257" s="293">
        <f t="shared" si="95"/>
        <v>205</v>
      </c>
      <c r="L257" s="294">
        <f t="shared" si="96"/>
        <v>6211</v>
      </c>
      <c r="M257" s="295">
        <f t="shared" si="91"/>
        <v>0</v>
      </c>
      <c r="N257" s="295" t="e">
        <f t="shared" si="92"/>
        <v>#NUM!</v>
      </c>
      <c r="O257" s="295">
        <f t="shared" si="84"/>
        <v>0</v>
      </c>
      <c r="P257" s="295">
        <f t="shared" si="85"/>
        <v>0</v>
      </c>
      <c r="Q257" s="298">
        <f t="shared" si="86"/>
        <v>0</v>
      </c>
      <c r="S257" s="292">
        <f t="shared" si="80"/>
        <v>18</v>
      </c>
      <c r="T257" s="293">
        <f t="shared" si="97"/>
        <v>205</v>
      </c>
      <c r="U257" s="294">
        <f t="shared" si="98"/>
        <v>6211</v>
      </c>
      <c r="V257" s="295">
        <f t="shared" si="99"/>
        <v>0</v>
      </c>
      <c r="W257" s="290" t="e">
        <f t="shared" si="100"/>
        <v>#NUM!</v>
      </c>
      <c r="X257" s="295">
        <f t="shared" si="87"/>
        <v>0</v>
      </c>
      <c r="Y257" s="295" t="e">
        <f t="shared" si="88"/>
        <v>#NUM!</v>
      </c>
      <c r="Z257" s="295">
        <f t="shared" si="101"/>
        <v>0</v>
      </c>
      <c r="AA257" s="298"/>
      <c r="AC257"/>
      <c r="AD257"/>
      <c r="AE257"/>
      <c r="AF257"/>
      <c r="AG257"/>
      <c r="AH257"/>
      <c r="AI257"/>
      <c r="AJ257"/>
    </row>
    <row r="258" spans="1:36" hidden="1">
      <c r="A258" s="287">
        <f t="shared" ref="A258:A321" si="102">A246+1</f>
        <v>18</v>
      </c>
      <c r="B258" s="288">
        <f t="shared" si="93"/>
        <v>206</v>
      </c>
      <c r="C258" s="289">
        <f t="shared" si="94"/>
        <v>52291</v>
      </c>
      <c r="D258" s="290">
        <f t="shared" si="89"/>
        <v>3277629.7753226077</v>
      </c>
      <c r="E258" s="290">
        <f t="shared" si="90"/>
        <v>-30010.234142609712</v>
      </c>
      <c r="F258" s="290">
        <f t="shared" si="81"/>
        <v>-14304.924802522224</v>
      </c>
      <c r="G258" s="290">
        <f t="shared" si="82"/>
        <v>-15705.309340087488</v>
      </c>
      <c r="H258" s="291">
        <f t="shared" si="83"/>
        <v>3263324.8505200855</v>
      </c>
      <c r="J258" s="287">
        <f t="shared" ref="J258:J321" si="103">J246+1</f>
        <v>18</v>
      </c>
      <c r="K258" s="288">
        <f t="shared" si="95"/>
        <v>206</v>
      </c>
      <c r="L258" s="289">
        <f t="shared" si="96"/>
        <v>6242</v>
      </c>
      <c r="M258" s="290">
        <f t="shared" si="91"/>
        <v>0</v>
      </c>
      <c r="N258" s="290" t="e">
        <f t="shared" si="92"/>
        <v>#NUM!</v>
      </c>
      <c r="O258" s="290">
        <f t="shared" si="84"/>
        <v>0</v>
      </c>
      <c r="P258" s="290">
        <f t="shared" si="85"/>
        <v>0</v>
      </c>
      <c r="Q258" s="291">
        <f t="shared" si="86"/>
        <v>0</v>
      </c>
      <c r="S258" s="287">
        <f t="shared" ref="S258:S321" si="104">S246+1</f>
        <v>18</v>
      </c>
      <c r="T258" s="288">
        <f t="shared" si="97"/>
        <v>206</v>
      </c>
      <c r="U258" s="289">
        <f t="shared" si="98"/>
        <v>6242</v>
      </c>
      <c r="V258" s="290">
        <f t="shared" si="99"/>
        <v>0</v>
      </c>
      <c r="W258" s="290" t="e">
        <f t="shared" si="100"/>
        <v>#NUM!</v>
      </c>
      <c r="X258" s="290">
        <f t="shared" si="87"/>
        <v>0</v>
      </c>
      <c r="Y258" s="290" t="e">
        <f t="shared" si="88"/>
        <v>#NUM!</v>
      </c>
      <c r="Z258" s="290">
        <f t="shared" si="101"/>
        <v>0</v>
      </c>
      <c r="AA258" s="291"/>
      <c r="AC258"/>
      <c r="AD258"/>
      <c r="AE258"/>
      <c r="AF258"/>
      <c r="AG258"/>
      <c r="AH258"/>
      <c r="AI258"/>
      <c r="AJ258"/>
    </row>
    <row r="259" spans="1:36" hidden="1">
      <c r="A259" s="292">
        <f t="shared" si="102"/>
        <v>18</v>
      </c>
      <c r="B259" s="293">
        <f t="shared" si="93"/>
        <v>207</v>
      </c>
      <c r="C259" s="294">
        <f t="shared" si="94"/>
        <v>52322</v>
      </c>
      <c r="D259" s="295">
        <f t="shared" si="89"/>
        <v>3263324.8505200855</v>
      </c>
      <c r="E259" s="295">
        <f t="shared" si="90"/>
        <v>-30010.234142609712</v>
      </c>
      <c r="F259" s="295">
        <f t="shared" si="81"/>
        <v>-14373.469233867643</v>
      </c>
      <c r="G259" s="295">
        <f t="shared" si="82"/>
        <v>-15636.764908742069</v>
      </c>
      <c r="H259" s="296">
        <f t="shared" si="83"/>
        <v>3248951.3812862178</v>
      </c>
      <c r="J259" s="292">
        <f t="shared" si="103"/>
        <v>18</v>
      </c>
      <c r="K259" s="293">
        <f t="shared" si="95"/>
        <v>207</v>
      </c>
      <c r="L259" s="294">
        <f t="shared" si="96"/>
        <v>6270</v>
      </c>
      <c r="M259" s="295">
        <f t="shared" si="91"/>
        <v>0</v>
      </c>
      <c r="N259" s="295" t="e">
        <f t="shared" si="92"/>
        <v>#NUM!</v>
      </c>
      <c r="O259" s="295">
        <f t="shared" si="84"/>
        <v>0</v>
      </c>
      <c r="P259" s="295">
        <f t="shared" si="85"/>
        <v>0</v>
      </c>
      <c r="Q259" s="296">
        <f t="shared" si="86"/>
        <v>0</v>
      </c>
      <c r="S259" s="292">
        <f t="shared" si="104"/>
        <v>18</v>
      </c>
      <c r="T259" s="293">
        <f t="shared" si="97"/>
        <v>207</v>
      </c>
      <c r="U259" s="294">
        <f t="shared" si="98"/>
        <v>6270</v>
      </c>
      <c r="V259" s="295">
        <f t="shared" si="99"/>
        <v>0</v>
      </c>
      <c r="W259" s="290" t="e">
        <f t="shared" si="100"/>
        <v>#NUM!</v>
      </c>
      <c r="X259" s="295">
        <f t="shared" si="87"/>
        <v>0</v>
      </c>
      <c r="Y259" s="295" t="e">
        <f t="shared" si="88"/>
        <v>#NUM!</v>
      </c>
      <c r="Z259" s="295">
        <f t="shared" si="101"/>
        <v>0</v>
      </c>
      <c r="AA259" s="296"/>
      <c r="AC259"/>
      <c r="AD259"/>
      <c r="AE259"/>
      <c r="AF259"/>
      <c r="AG259"/>
      <c r="AH259"/>
      <c r="AI259"/>
      <c r="AJ259"/>
    </row>
    <row r="260" spans="1:36" hidden="1">
      <c r="A260" s="287">
        <f t="shared" si="102"/>
        <v>18</v>
      </c>
      <c r="B260" s="288">
        <f t="shared" si="93"/>
        <v>208</v>
      </c>
      <c r="C260" s="289">
        <f t="shared" si="94"/>
        <v>52352</v>
      </c>
      <c r="D260" s="290">
        <f t="shared" si="89"/>
        <v>3248951.3812862178</v>
      </c>
      <c r="E260" s="290">
        <f t="shared" si="90"/>
        <v>-30010.234142609712</v>
      </c>
      <c r="F260" s="290">
        <f t="shared" si="81"/>
        <v>-14442.342107279925</v>
      </c>
      <c r="G260" s="290">
        <f t="shared" si="82"/>
        <v>-15567.892035329787</v>
      </c>
      <c r="H260" s="291">
        <f t="shared" si="83"/>
        <v>3234509.0391789377</v>
      </c>
      <c r="J260" s="287">
        <f t="shared" si="103"/>
        <v>18</v>
      </c>
      <c r="K260" s="288">
        <f t="shared" si="95"/>
        <v>208</v>
      </c>
      <c r="L260" s="289">
        <f t="shared" si="96"/>
        <v>6301</v>
      </c>
      <c r="M260" s="290">
        <f t="shared" si="91"/>
        <v>0</v>
      </c>
      <c r="N260" s="290" t="e">
        <f t="shared" si="92"/>
        <v>#NUM!</v>
      </c>
      <c r="O260" s="290">
        <f t="shared" si="84"/>
        <v>0</v>
      </c>
      <c r="P260" s="290">
        <f t="shared" si="85"/>
        <v>0</v>
      </c>
      <c r="Q260" s="291">
        <f t="shared" si="86"/>
        <v>0</v>
      </c>
      <c r="S260" s="287">
        <f t="shared" si="104"/>
        <v>18</v>
      </c>
      <c r="T260" s="288">
        <f t="shared" si="97"/>
        <v>208</v>
      </c>
      <c r="U260" s="289">
        <f t="shared" si="98"/>
        <v>6301</v>
      </c>
      <c r="V260" s="290">
        <f t="shared" si="99"/>
        <v>0</v>
      </c>
      <c r="W260" s="290" t="e">
        <f t="shared" si="100"/>
        <v>#NUM!</v>
      </c>
      <c r="X260" s="290">
        <f t="shared" si="87"/>
        <v>0</v>
      </c>
      <c r="Y260" s="290" t="e">
        <f t="shared" si="88"/>
        <v>#NUM!</v>
      </c>
      <c r="Z260" s="290">
        <f t="shared" si="101"/>
        <v>0</v>
      </c>
      <c r="AA260" s="291"/>
      <c r="AC260"/>
      <c r="AD260"/>
      <c r="AE260"/>
      <c r="AF260"/>
      <c r="AG260"/>
      <c r="AH260"/>
      <c r="AI260"/>
      <c r="AJ260"/>
    </row>
    <row r="261" spans="1:36" hidden="1">
      <c r="A261" s="292">
        <f t="shared" si="102"/>
        <v>18</v>
      </c>
      <c r="B261" s="293">
        <f t="shared" si="93"/>
        <v>209</v>
      </c>
      <c r="C261" s="294">
        <f t="shared" si="94"/>
        <v>52383</v>
      </c>
      <c r="D261" s="295">
        <f t="shared" si="89"/>
        <v>3234509.0391789377</v>
      </c>
      <c r="E261" s="295">
        <f t="shared" si="90"/>
        <v>-30010.234142609712</v>
      </c>
      <c r="F261" s="295">
        <f t="shared" si="81"/>
        <v>-14511.544996543975</v>
      </c>
      <c r="G261" s="295">
        <f t="shared" si="82"/>
        <v>-15498.689146065735</v>
      </c>
      <c r="H261" s="298">
        <f t="shared" si="83"/>
        <v>3219997.4941823939</v>
      </c>
      <c r="J261" s="292">
        <f t="shared" si="103"/>
        <v>18</v>
      </c>
      <c r="K261" s="293">
        <f t="shared" si="95"/>
        <v>209</v>
      </c>
      <c r="L261" s="294">
        <f t="shared" si="96"/>
        <v>6331</v>
      </c>
      <c r="M261" s="295">
        <f t="shared" si="91"/>
        <v>0</v>
      </c>
      <c r="N261" s="295" t="e">
        <f t="shared" si="92"/>
        <v>#NUM!</v>
      </c>
      <c r="O261" s="295">
        <f t="shared" si="84"/>
        <v>0</v>
      </c>
      <c r="P261" s="295">
        <f t="shared" si="85"/>
        <v>0</v>
      </c>
      <c r="Q261" s="298">
        <f t="shared" si="86"/>
        <v>0</v>
      </c>
      <c r="S261" s="292">
        <f t="shared" si="104"/>
        <v>18</v>
      </c>
      <c r="T261" s="293">
        <f t="shared" si="97"/>
        <v>209</v>
      </c>
      <c r="U261" s="294">
        <f t="shared" si="98"/>
        <v>6331</v>
      </c>
      <c r="V261" s="295">
        <f t="shared" si="99"/>
        <v>0</v>
      </c>
      <c r="W261" s="290" t="e">
        <f t="shared" si="100"/>
        <v>#NUM!</v>
      </c>
      <c r="X261" s="295">
        <f t="shared" si="87"/>
        <v>0</v>
      </c>
      <c r="Y261" s="295" t="e">
        <f t="shared" si="88"/>
        <v>#NUM!</v>
      </c>
      <c r="Z261" s="295">
        <f t="shared" si="101"/>
        <v>0</v>
      </c>
      <c r="AA261" s="298"/>
      <c r="AC261"/>
      <c r="AD261"/>
      <c r="AE261"/>
      <c r="AF261"/>
      <c r="AG261"/>
      <c r="AH261"/>
      <c r="AI261"/>
      <c r="AJ261"/>
    </row>
    <row r="262" spans="1:36" hidden="1">
      <c r="A262" s="287">
        <f t="shared" si="102"/>
        <v>18</v>
      </c>
      <c r="B262" s="288">
        <f t="shared" si="93"/>
        <v>210</v>
      </c>
      <c r="C262" s="289">
        <f t="shared" si="94"/>
        <v>52413</v>
      </c>
      <c r="D262" s="290">
        <f t="shared" si="89"/>
        <v>3219997.4941823939</v>
      </c>
      <c r="E262" s="290">
        <f t="shared" si="90"/>
        <v>-30010.234142609712</v>
      </c>
      <c r="F262" s="290">
        <f t="shared" si="81"/>
        <v>-14581.079482985748</v>
      </c>
      <c r="G262" s="290">
        <f t="shared" si="82"/>
        <v>-15429.154659623966</v>
      </c>
      <c r="H262" s="291">
        <f t="shared" si="83"/>
        <v>3205416.4146994082</v>
      </c>
      <c r="J262" s="287">
        <f t="shared" si="103"/>
        <v>18</v>
      </c>
      <c r="K262" s="288">
        <f t="shared" si="95"/>
        <v>210</v>
      </c>
      <c r="L262" s="289">
        <f t="shared" si="96"/>
        <v>6362</v>
      </c>
      <c r="M262" s="290">
        <f t="shared" si="91"/>
        <v>0</v>
      </c>
      <c r="N262" s="290" t="e">
        <f t="shared" si="92"/>
        <v>#NUM!</v>
      </c>
      <c r="O262" s="290">
        <f t="shared" si="84"/>
        <v>0</v>
      </c>
      <c r="P262" s="290">
        <f t="shared" si="85"/>
        <v>0</v>
      </c>
      <c r="Q262" s="291">
        <f t="shared" si="86"/>
        <v>0</v>
      </c>
      <c r="S262" s="287">
        <f t="shared" si="104"/>
        <v>18</v>
      </c>
      <c r="T262" s="288">
        <f t="shared" si="97"/>
        <v>210</v>
      </c>
      <c r="U262" s="289">
        <f t="shared" si="98"/>
        <v>6362</v>
      </c>
      <c r="V262" s="290">
        <f t="shared" si="99"/>
        <v>0</v>
      </c>
      <c r="W262" s="290" t="e">
        <f t="shared" si="100"/>
        <v>#NUM!</v>
      </c>
      <c r="X262" s="290">
        <f t="shared" si="87"/>
        <v>0</v>
      </c>
      <c r="Y262" s="290" t="e">
        <f t="shared" si="88"/>
        <v>#NUM!</v>
      </c>
      <c r="Z262" s="290">
        <f t="shared" si="101"/>
        <v>0</v>
      </c>
      <c r="AA262" s="291"/>
      <c r="AC262"/>
      <c r="AD262"/>
      <c r="AE262"/>
      <c r="AF262"/>
      <c r="AG262"/>
      <c r="AH262"/>
      <c r="AI262"/>
      <c r="AJ262"/>
    </row>
    <row r="263" spans="1:36" hidden="1">
      <c r="A263" s="292">
        <f t="shared" si="102"/>
        <v>18</v>
      </c>
      <c r="B263" s="293">
        <f t="shared" si="93"/>
        <v>211</v>
      </c>
      <c r="C263" s="294">
        <f t="shared" si="94"/>
        <v>52444</v>
      </c>
      <c r="D263" s="295">
        <f t="shared" si="89"/>
        <v>3205416.4146994082</v>
      </c>
      <c r="E263" s="295">
        <f t="shared" si="90"/>
        <v>-30010.234142609712</v>
      </c>
      <c r="F263" s="295">
        <f t="shared" si="81"/>
        <v>-14650.947155508387</v>
      </c>
      <c r="G263" s="295">
        <f t="shared" si="82"/>
        <v>-15359.286987101326</v>
      </c>
      <c r="H263" s="296">
        <f t="shared" si="83"/>
        <v>3190765.4675439</v>
      </c>
      <c r="J263" s="292">
        <f t="shared" si="103"/>
        <v>18</v>
      </c>
      <c r="K263" s="293">
        <f t="shared" si="95"/>
        <v>211</v>
      </c>
      <c r="L263" s="294">
        <f t="shared" si="96"/>
        <v>6392</v>
      </c>
      <c r="M263" s="295">
        <f t="shared" si="91"/>
        <v>0</v>
      </c>
      <c r="N263" s="295" t="e">
        <f t="shared" si="92"/>
        <v>#NUM!</v>
      </c>
      <c r="O263" s="295">
        <f t="shared" si="84"/>
        <v>0</v>
      </c>
      <c r="P263" s="295">
        <f t="shared" si="85"/>
        <v>0</v>
      </c>
      <c r="Q263" s="296">
        <f t="shared" si="86"/>
        <v>0</v>
      </c>
      <c r="S263" s="292">
        <f t="shared" si="104"/>
        <v>18</v>
      </c>
      <c r="T263" s="293">
        <f t="shared" si="97"/>
        <v>211</v>
      </c>
      <c r="U263" s="294">
        <f t="shared" si="98"/>
        <v>6392</v>
      </c>
      <c r="V263" s="295">
        <f t="shared" si="99"/>
        <v>0</v>
      </c>
      <c r="W263" s="290" t="e">
        <f t="shared" si="100"/>
        <v>#NUM!</v>
      </c>
      <c r="X263" s="295">
        <f t="shared" si="87"/>
        <v>0</v>
      </c>
      <c r="Y263" s="295" t="e">
        <f t="shared" si="88"/>
        <v>#NUM!</v>
      </c>
      <c r="Z263" s="295">
        <f t="shared" si="101"/>
        <v>0</v>
      </c>
      <c r="AA263" s="296"/>
      <c r="AC263"/>
      <c r="AD263"/>
      <c r="AE263"/>
      <c r="AF263"/>
      <c r="AG263"/>
      <c r="AH263"/>
      <c r="AI263"/>
      <c r="AJ263"/>
    </row>
    <row r="264" spans="1:36" hidden="1">
      <c r="A264" s="287">
        <f t="shared" si="102"/>
        <v>18</v>
      </c>
      <c r="B264" s="288">
        <f t="shared" si="93"/>
        <v>212</v>
      </c>
      <c r="C264" s="289">
        <f t="shared" si="94"/>
        <v>52475</v>
      </c>
      <c r="D264" s="290">
        <f t="shared" si="89"/>
        <v>3190765.4675439</v>
      </c>
      <c r="E264" s="290">
        <f t="shared" si="90"/>
        <v>-30010.234142609712</v>
      </c>
      <c r="F264" s="290">
        <f t="shared" si="81"/>
        <v>-14721.149610628532</v>
      </c>
      <c r="G264" s="290">
        <f t="shared" si="82"/>
        <v>-15289.08453198118</v>
      </c>
      <c r="H264" s="291">
        <f t="shared" si="83"/>
        <v>3176044.3179332716</v>
      </c>
      <c r="J264" s="287">
        <f t="shared" si="103"/>
        <v>18</v>
      </c>
      <c r="K264" s="288">
        <f t="shared" si="95"/>
        <v>212</v>
      </c>
      <c r="L264" s="289">
        <f t="shared" si="96"/>
        <v>6423</v>
      </c>
      <c r="M264" s="290">
        <f t="shared" si="91"/>
        <v>0</v>
      </c>
      <c r="N264" s="290" t="e">
        <f t="shared" si="92"/>
        <v>#NUM!</v>
      </c>
      <c r="O264" s="290">
        <f t="shared" si="84"/>
        <v>0</v>
      </c>
      <c r="P264" s="290">
        <f t="shared" si="85"/>
        <v>0</v>
      </c>
      <c r="Q264" s="291">
        <f t="shared" si="86"/>
        <v>0</v>
      </c>
      <c r="S264" s="287">
        <f t="shared" si="104"/>
        <v>18</v>
      </c>
      <c r="T264" s="288">
        <f t="shared" si="97"/>
        <v>212</v>
      </c>
      <c r="U264" s="289">
        <f t="shared" si="98"/>
        <v>6423</v>
      </c>
      <c r="V264" s="290">
        <f t="shared" si="99"/>
        <v>0</v>
      </c>
      <c r="W264" s="290" t="e">
        <f t="shared" si="100"/>
        <v>#NUM!</v>
      </c>
      <c r="X264" s="290">
        <f t="shared" si="87"/>
        <v>0</v>
      </c>
      <c r="Y264" s="290" t="e">
        <f t="shared" si="88"/>
        <v>#NUM!</v>
      </c>
      <c r="Z264" s="290">
        <f t="shared" si="101"/>
        <v>0</v>
      </c>
      <c r="AA264" s="291"/>
      <c r="AC264"/>
      <c r="AD264"/>
      <c r="AE264"/>
      <c r="AF264"/>
      <c r="AG264"/>
      <c r="AH264"/>
      <c r="AI264"/>
      <c r="AJ264"/>
    </row>
    <row r="265" spans="1:36" hidden="1">
      <c r="A265" s="292">
        <f t="shared" si="102"/>
        <v>18</v>
      </c>
      <c r="B265" s="293">
        <f t="shared" si="93"/>
        <v>213</v>
      </c>
      <c r="C265" s="294">
        <f t="shared" si="94"/>
        <v>52505</v>
      </c>
      <c r="D265" s="295">
        <f t="shared" si="89"/>
        <v>3176044.3179332716</v>
      </c>
      <c r="E265" s="295">
        <f t="shared" si="90"/>
        <v>-30010.234142609712</v>
      </c>
      <c r="F265" s="295">
        <f t="shared" si="81"/>
        <v>-14791.688452512795</v>
      </c>
      <c r="G265" s="295">
        <f t="shared" si="82"/>
        <v>-15218.545690096917</v>
      </c>
      <c r="H265" s="298">
        <f t="shared" si="83"/>
        <v>3161252.6294807587</v>
      </c>
      <c r="J265" s="292">
        <f t="shared" si="103"/>
        <v>18</v>
      </c>
      <c r="K265" s="293">
        <f t="shared" si="95"/>
        <v>213</v>
      </c>
      <c r="L265" s="294">
        <f t="shared" si="96"/>
        <v>6454</v>
      </c>
      <c r="M265" s="295">
        <f t="shared" si="91"/>
        <v>0</v>
      </c>
      <c r="N265" s="295" t="e">
        <f t="shared" si="92"/>
        <v>#NUM!</v>
      </c>
      <c r="O265" s="295">
        <f t="shared" si="84"/>
        <v>0</v>
      </c>
      <c r="P265" s="295">
        <f t="shared" si="85"/>
        <v>0</v>
      </c>
      <c r="Q265" s="298">
        <f t="shared" si="86"/>
        <v>0</v>
      </c>
      <c r="S265" s="292">
        <f t="shared" si="104"/>
        <v>18</v>
      </c>
      <c r="T265" s="293">
        <f t="shared" si="97"/>
        <v>213</v>
      </c>
      <c r="U265" s="294">
        <f t="shared" si="98"/>
        <v>6454</v>
      </c>
      <c r="V265" s="295">
        <f t="shared" si="99"/>
        <v>0</v>
      </c>
      <c r="W265" s="290" t="e">
        <f t="shared" si="100"/>
        <v>#NUM!</v>
      </c>
      <c r="X265" s="295">
        <f t="shared" si="87"/>
        <v>0</v>
      </c>
      <c r="Y265" s="295" t="e">
        <f t="shared" si="88"/>
        <v>#NUM!</v>
      </c>
      <c r="Z265" s="295">
        <f t="shared" si="101"/>
        <v>0</v>
      </c>
      <c r="AA265" s="298"/>
      <c r="AC265"/>
      <c r="AD265"/>
      <c r="AE265"/>
      <c r="AF265"/>
      <c r="AG265"/>
      <c r="AH265"/>
      <c r="AI265"/>
      <c r="AJ265"/>
    </row>
    <row r="266" spans="1:36" hidden="1">
      <c r="A266" s="287">
        <f t="shared" si="102"/>
        <v>18</v>
      </c>
      <c r="B266" s="288">
        <f t="shared" si="93"/>
        <v>214</v>
      </c>
      <c r="C266" s="289">
        <f t="shared" si="94"/>
        <v>52536</v>
      </c>
      <c r="D266" s="290">
        <f t="shared" si="89"/>
        <v>3161252.6294807587</v>
      </c>
      <c r="E266" s="290">
        <f t="shared" si="90"/>
        <v>-30010.234142609712</v>
      </c>
      <c r="F266" s="290">
        <f t="shared" si="81"/>
        <v>-14862.565293014417</v>
      </c>
      <c r="G266" s="290">
        <f t="shared" si="82"/>
        <v>-15147.668849595297</v>
      </c>
      <c r="H266" s="291">
        <f t="shared" si="83"/>
        <v>3146390.0641877442</v>
      </c>
      <c r="J266" s="287">
        <f t="shared" si="103"/>
        <v>18</v>
      </c>
      <c r="K266" s="288">
        <f t="shared" si="95"/>
        <v>214</v>
      </c>
      <c r="L266" s="289">
        <f t="shared" si="96"/>
        <v>6484</v>
      </c>
      <c r="M266" s="290">
        <f t="shared" si="91"/>
        <v>0</v>
      </c>
      <c r="N266" s="290" t="e">
        <f t="shared" si="92"/>
        <v>#NUM!</v>
      </c>
      <c r="O266" s="290">
        <f t="shared" si="84"/>
        <v>0</v>
      </c>
      <c r="P266" s="290">
        <f t="shared" si="85"/>
        <v>0</v>
      </c>
      <c r="Q266" s="291">
        <f t="shared" si="86"/>
        <v>0</v>
      </c>
      <c r="S266" s="287">
        <f t="shared" si="104"/>
        <v>18</v>
      </c>
      <c r="T266" s="288">
        <f t="shared" si="97"/>
        <v>214</v>
      </c>
      <c r="U266" s="289">
        <f t="shared" si="98"/>
        <v>6484</v>
      </c>
      <c r="V266" s="290">
        <f t="shared" si="99"/>
        <v>0</v>
      </c>
      <c r="W266" s="290" t="e">
        <f t="shared" si="100"/>
        <v>#NUM!</v>
      </c>
      <c r="X266" s="290">
        <f t="shared" si="87"/>
        <v>0</v>
      </c>
      <c r="Y266" s="290" t="e">
        <f t="shared" si="88"/>
        <v>#NUM!</v>
      </c>
      <c r="Z266" s="290">
        <f t="shared" si="101"/>
        <v>0</v>
      </c>
      <c r="AA266" s="291"/>
      <c r="AC266"/>
      <c r="AD266"/>
      <c r="AE266"/>
      <c r="AF266"/>
      <c r="AG266"/>
      <c r="AH266"/>
      <c r="AI266"/>
      <c r="AJ266"/>
    </row>
    <row r="267" spans="1:36" hidden="1">
      <c r="A267" s="292">
        <f t="shared" si="102"/>
        <v>18</v>
      </c>
      <c r="B267" s="293">
        <f t="shared" si="93"/>
        <v>215</v>
      </c>
      <c r="C267" s="294">
        <f t="shared" si="94"/>
        <v>52566</v>
      </c>
      <c r="D267" s="295">
        <f t="shared" si="89"/>
        <v>3146390.0641877442</v>
      </c>
      <c r="E267" s="295">
        <f t="shared" si="90"/>
        <v>-30010.234142609712</v>
      </c>
      <c r="F267" s="295">
        <f t="shared" si="81"/>
        <v>-14933.781751710112</v>
      </c>
      <c r="G267" s="295">
        <f t="shared" si="82"/>
        <v>-15076.4523908996</v>
      </c>
      <c r="H267" s="296">
        <f t="shared" si="83"/>
        <v>3131456.2824360342</v>
      </c>
      <c r="J267" s="292">
        <f t="shared" si="103"/>
        <v>18</v>
      </c>
      <c r="K267" s="293">
        <f t="shared" si="95"/>
        <v>215</v>
      </c>
      <c r="L267" s="294">
        <f t="shared" si="96"/>
        <v>6515</v>
      </c>
      <c r="M267" s="295">
        <f t="shared" si="91"/>
        <v>0</v>
      </c>
      <c r="N267" s="295" t="e">
        <f t="shared" si="92"/>
        <v>#NUM!</v>
      </c>
      <c r="O267" s="295">
        <f t="shared" si="84"/>
        <v>0</v>
      </c>
      <c r="P267" s="295">
        <f t="shared" si="85"/>
        <v>0</v>
      </c>
      <c r="Q267" s="296">
        <f t="shared" si="86"/>
        <v>0</v>
      </c>
      <c r="S267" s="292">
        <f t="shared" si="104"/>
        <v>18</v>
      </c>
      <c r="T267" s="293">
        <f t="shared" si="97"/>
        <v>215</v>
      </c>
      <c r="U267" s="294">
        <f t="shared" si="98"/>
        <v>6515</v>
      </c>
      <c r="V267" s="295">
        <f t="shared" si="99"/>
        <v>0</v>
      </c>
      <c r="W267" s="290" t="e">
        <f t="shared" si="100"/>
        <v>#NUM!</v>
      </c>
      <c r="X267" s="295">
        <f t="shared" si="87"/>
        <v>0</v>
      </c>
      <c r="Y267" s="295" t="e">
        <f t="shared" si="88"/>
        <v>#NUM!</v>
      </c>
      <c r="Z267" s="295">
        <f t="shared" si="101"/>
        <v>0</v>
      </c>
      <c r="AA267" s="296"/>
      <c r="AC267"/>
      <c r="AD267"/>
      <c r="AE267"/>
      <c r="AF267"/>
      <c r="AG267"/>
      <c r="AH267"/>
      <c r="AI267"/>
      <c r="AJ267"/>
    </row>
    <row r="268" spans="1:36" hidden="1">
      <c r="A268" s="287">
        <f t="shared" si="102"/>
        <v>18</v>
      </c>
      <c r="B268" s="288">
        <f t="shared" si="93"/>
        <v>216</v>
      </c>
      <c r="C268" s="289">
        <f t="shared" si="94"/>
        <v>52597</v>
      </c>
      <c r="D268" s="290">
        <f t="shared" si="89"/>
        <v>3131456.2824360342</v>
      </c>
      <c r="E268" s="290">
        <f t="shared" si="90"/>
        <v>-30010.234142609712</v>
      </c>
      <c r="F268" s="290">
        <f t="shared" si="81"/>
        <v>-15005.339455937057</v>
      </c>
      <c r="G268" s="290">
        <f t="shared" si="82"/>
        <v>-15004.894686672658</v>
      </c>
      <c r="H268" s="291">
        <f t="shared" si="83"/>
        <v>3116450.9429800971</v>
      </c>
      <c r="J268" s="287">
        <f t="shared" si="103"/>
        <v>18</v>
      </c>
      <c r="K268" s="288">
        <f t="shared" si="95"/>
        <v>216</v>
      </c>
      <c r="L268" s="289">
        <f t="shared" si="96"/>
        <v>6545</v>
      </c>
      <c r="M268" s="290">
        <f t="shared" si="91"/>
        <v>0</v>
      </c>
      <c r="N268" s="290" t="e">
        <f t="shared" si="92"/>
        <v>#NUM!</v>
      </c>
      <c r="O268" s="290">
        <f t="shared" si="84"/>
        <v>0</v>
      </c>
      <c r="P268" s="290">
        <f t="shared" si="85"/>
        <v>0</v>
      </c>
      <c r="Q268" s="291">
        <f t="shared" si="86"/>
        <v>0</v>
      </c>
      <c r="S268" s="287">
        <f t="shared" si="104"/>
        <v>18</v>
      </c>
      <c r="T268" s="288">
        <f t="shared" si="97"/>
        <v>216</v>
      </c>
      <c r="U268" s="289">
        <f t="shared" si="98"/>
        <v>6545</v>
      </c>
      <c r="V268" s="290">
        <f t="shared" si="99"/>
        <v>0</v>
      </c>
      <c r="W268" s="290" t="e">
        <f t="shared" si="100"/>
        <v>#NUM!</v>
      </c>
      <c r="X268" s="290">
        <f t="shared" si="87"/>
        <v>0</v>
      </c>
      <c r="Y268" s="290" t="e">
        <f t="shared" si="88"/>
        <v>#NUM!</v>
      </c>
      <c r="Z268" s="290">
        <f t="shared" si="101"/>
        <v>0</v>
      </c>
      <c r="AA268" s="291"/>
      <c r="AC268"/>
      <c r="AD268"/>
      <c r="AE268"/>
      <c r="AF268"/>
      <c r="AG268"/>
      <c r="AH268"/>
      <c r="AI268"/>
      <c r="AJ268"/>
    </row>
    <row r="269" spans="1:36" hidden="1">
      <c r="A269" s="292">
        <f t="shared" si="102"/>
        <v>19</v>
      </c>
      <c r="B269" s="293">
        <f t="shared" si="93"/>
        <v>217</v>
      </c>
      <c r="C269" s="294">
        <f t="shared" si="94"/>
        <v>52628</v>
      </c>
      <c r="D269" s="295">
        <f t="shared" si="89"/>
        <v>3116450.9429800971</v>
      </c>
      <c r="E269" s="295">
        <f t="shared" si="90"/>
        <v>-30010.234142609712</v>
      </c>
      <c r="F269" s="295">
        <f t="shared" si="81"/>
        <v>-15077.240040830089</v>
      </c>
      <c r="G269" s="295">
        <f t="shared" si="82"/>
        <v>-14932.994101779625</v>
      </c>
      <c r="H269" s="298">
        <f t="shared" si="83"/>
        <v>3101373.7029392673</v>
      </c>
      <c r="J269" s="292">
        <f t="shared" si="103"/>
        <v>19</v>
      </c>
      <c r="K269" s="293">
        <f t="shared" si="95"/>
        <v>217</v>
      </c>
      <c r="L269" s="294">
        <f t="shared" si="96"/>
        <v>6576</v>
      </c>
      <c r="M269" s="295">
        <f t="shared" si="91"/>
        <v>0</v>
      </c>
      <c r="N269" s="295" t="e">
        <f t="shared" si="92"/>
        <v>#NUM!</v>
      </c>
      <c r="O269" s="295">
        <f t="shared" si="84"/>
        <v>0</v>
      </c>
      <c r="P269" s="295">
        <f t="shared" si="85"/>
        <v>0</v>
      </c>
      <c r="Q269" s="298">
        <f t="shared" si="86"/>
        <v>0</v>
      </c>
      <c r="S269" s="292">
        <f t="shared" si="104"/>
        <v>19</v>
      </c>
      <c r="T269" s="293">
        <f t="shared" si="97"/>
        <v>217</v>
      </c>
      <c r="U269" s="294">
        <f t="shared" si="98"/>
        <v>6576</v>
      </c>
      <c r="V269" s="295">
        <f t="shared" si="99"/>
        <v>0</v>
      </c>
      <c r="W269" s="290" t="e">
        <f t="shared" si="100"/>
        <v>#NUM!</v>
      </c>
      <c r="X269" s="295">
        <f t="shared" si="87"/>
        <v>0</v>
      </c>
      <c r="Y269" s="295" t="e">
        <f t="shared" si="88"/>
        <v>#NUM!</v>
      </c>
      <c r="Z269" s="295">
        <f t="shared" si="101"/>
        <v>0</v>
      </c>
      <c r="AA269" s="298"/>
      <c r="AC269"/>
      <c r="AD269"/>
      <c r="AE269"/>
      <c r="AF269"/>
      <c r="AG269"/>
      <c r="AH269"/>
      <c r="AI269"/>
      <c r="AJ269"/>
    </row>
    <row r="270" spans="1:36" hidden="1">
      <c r="A270" s="287">
        <f t="shared" si="102"/>
        <v>19</v>
      </c>
      <c r="B270" s="288">
        <f t="shared" si="93"/>
        <v>218</v>
      </c>
      <c r="C270" s="289">
        <f t="shared" si="94"/>
        <v>52657</v>
      </c>
      <c r="D270" s="290">
        <f t="shared" si="89"/>
        <v>3101373.7029392673</v>
      </c>
      <c r="E270" s="290">
        <f t="shared" si="90"/>
        <v>-30010.234142609712</v>
      </c>
      <c r="F270" s="290">
        <f t="shared" si="81"/>
        <v>-15149.485149359067</v>
      </c>
      <c r="G270" s="290">
        <f t="shared" si="82"/>
        <v>-14860.748993250647</v>
      </c>
      <c r="H270" s="291">
        <f t="shared" si="83"/>
        <v>3086224.2177899084</v>
      </c>
      <c r="J270" s="287">
        <f t="shared" si="103"/>
        <v>19</v>
      </c>
      <c r="K270" s="288">
        <f t="shared" si="95"/>
        <v>218</v>
      </c>
      <c r="L270" s="289">
        <f t="shared" si="96"/>
        <v>6607</v>
      </c>
      <c r="M270" s="290">
        <f t="shared" si="91"/>
        <v>0</v>
      </c>
      <c r="N270" s="290" t="e">
        <f t="shared" si="92"/>
        <v>#NUM!</v>
      </c>
      <c r="O270" s="290">
        <f t="shared" si="84"/>
        <v>0</v>
      </c>
      <c r="P270" s="290">
        <f t="shared" si="85"/>
        <v>0</v>
      </c>
      <c r="Q270" s="291">
        <f t="shared" si="86"/>
        <v>0</v>
      </c>
      <c r="S270" s="287">
        <f t="shared" si="104"/>
        <v>19</v>
      </c>
      <c r="T270" s="288">
        <f t="shared" si="97"/>
        <v>218</v>
      </c>
      <c r="U270" s="289">
        <f t="shared" si="98"/>
        <v>6607</v>
      </c>
      <c r="V270" s="290">
        <f t="shared" si="99"/>
        <v>0</v>
      </c>
      <c r="W270" s="290" t="e">
        <f t="shared" si="100"/>
        <v>#NUM!</v>
      </c>
      <c r="X270" s="290">
        <f t="shared" si="87"/>
        <v>0</v>
      </c>
      <c r="Y270" s="290" t="e">
        <f t="shared" si="88"/>
        <v>#NUM!</v>
      </c>
      <c r="Z270" s="290">
        <f t="shared" si="101"/>
        <v>0</v>
      </c>
      <c r="AA270" s="291"/>
      <c r="AC270"/>
      <c r="AD270"/>
      <c r="AE270"/>
      <c r="AF270"/>
      <c r="AG270"/>
      <c r="AH270"/>
      <c r="AI270"/>
      <c r="AJ270"/>
    </row>
    <row r="271" spans="1:36" hidden="1">
      <c r="A271" s="292">
        <f t="shared" si="102"/>
        <v>19</v>
      </c>
      <c r="B271" s="293">
        <f t="shared" si="93"/>
        <v>219</v>
      </c>
      <c r="C271" s="294">
        <f t="shared" si="94"/>
        <v>52688</v>
      </c>
      <c r="D271" s="295">
        <f t="shared" si="89"/>
        <v>3086224.2177899084</v>
      </c>
      <c r="E271" s="295">
        <f t="shared" si="90"/>
        <v>-30010.234142609712</v>
      </c>
      <c r="F271" s="295">
        <f t="shared" si="81"/>
        <v>-15222.07643236641</v>
      </c>
      <c r="G271" s="295">
        <f t="shared" si="82"/>
        <v>-14788.157710243302</v>
      </c>
      <c r="H271" s="296">
        <f t="shared" si="83"/>
        <v>3071002.141357542</v>
      </c>
      <c r="J271" s="292">
        <f t="shared" si="103"/>
        <v>19</v>
      </c>
      <c r="K271" s="293">
        <f t="shared" si="95"/>
        <v>219</v>
      </c>
      <c r="L271" s="294">
        <f t="shared" si="96"/>
        <v>6635</v>
      </c>
      <c r="M271" s="295">
        <f t="shared" si="91"/>
        <v>0</v>
      </c>
      <c r="N271" s="295" t="e">
        <f t="shared" si="92"/>
        <v>#NUM!</v>
      </c>
      <c r="O271" s="295">
        <f t="shared" si="84"/>
        <v>0</v>
      </c>
      <c r="P271" s="295">
        <f t="shared" si="85"/>
        <v>0</v>
      </c>
      <c r="Q271" s="296">
        <f t="shared" si="86"/>
        <v>0</v>
      </c>
      <c r="S271" s="292">
        <f t="shared" si="104"/>
        <v>19</v>
      </c>
      <c r="T271" s="293">
        <f t="shared" si="97"/>
        <v>219</v>
      </c>
      <c r="U271" s="294">
        <f t="shared" si="98"/>
        <v>6635</v>
      </c>
      <c r="V271" s="295">
        <f t="shared" si="99"/>
        <v>0</v>
      </c>
      <c r="W271" s="290" t="e">
        <f t="shared" si="100"/>
        <v>#NUM!</v>
      </c>
      <c r="X271" s="295">
        <f t="shared" si="87"/>
        <v>0</v>
      </c>
      <c r="Y271" s="295" t="e">
        <f t="shared" si="88"/>
        <v>#NUM!</v>
      </c>
      <c r="Z271" s="295">
        <f t="shared" si="101"/>
        <v>0</v>
      </c>
      <c r="AA271" s="296"/>
      <c r="AC271"/>
      <c r="AD271"/>
      <c r="AE271"/>
      <c r="AF271"/>
      <c r="AG271"/>
      <c r="AH271"/>
      <c r="AI271"/>
      <c r="AJ271"/>
    </row>
    <row r="272" spans="1:36" hidden="1">
      <c r="A272" s="287">
        <f t="shared" si="102"/>
        <v>19</v>
      </c>
      <c r="B272" s="288">
        <f t="shared" si="93"/>
        <v>220</v>
      </c>
      <c r="C272" s="289">
        <f t="shared" si="94"/>
        <v>52718</v>
      </c>
      <c r="D272" s="290">
        <f t="shared" si="89"/>
        <v>3071002.141357542</v>
      </c>
      <c r="E272" s="290">
        <f t="shared" si="90"/>
        <v>-30010.234142609712</v>
      </c>
      <c r="F272" s="290">
        <f t="shared" si="81"/>
        <v>-15295.015548604832</v>
      </c>
      <c r="G272" s="290">
        <f t="shared" si="82"/>
        <v>-14715.218594004878</v>
      </c>
      <c r="H272" s="291">
        <f t="shared" si="83"/>
        <v>3055707.125808937</v>
      </c>
      <c r="J272" s="287">
        <f t="shared" si="103"/>
        <v>19</v>
      </c>
      <c r="K272" s="288">
        <f t="shared" si="95"/>
        <v>220</v>
      </c>
      <c r="L272" s="289">
        <f t="shared" si="96"/>
        <v>6666</v>
      </c>
      <c r="M272" s="290">
        <f t="shared" si="91"/>
        <v>0</v>
      </c>
      <c r="N272" s="290" t="e">
        <f t="shared" si="92"/>
        <v>#NUM!</v>
      </c>
      <c r="O272" s="290">
        <f t="shared" si="84"/>
        <v>0</v>
      </c>
      <c r="P272" s="290">
        <f t="shared" si="85"/>
        <v>0</v>
      </c>
      <c r="Q272" s="291">
        <f t="shared" si="86"/>
        <v>0</v>
      </c>
      <c r="S272" s="287">
        <f t="shared" si="104"/>
        <v>19</v>
      </c>
      <c r="T272" s="288">
        <f t="shared" si="97"/>
        <v>220</v>
      </c>
      <c r="U272" s="289">
        <f t="shared" si="98"/>
        <v>6666</v>
      </c>
      <c r="V272" s="290">
        <f t="shared" si="99"/>
        <v>0</v>
      </c>
      <c r="W272" s="290" t="e">
        <f t="shared" si="100"/>
        <v>#NUM!</v>
      </c>
      <c r="X272" s="290">
        <f t="shared" si="87"/>
        <v>0</v>
      </c>
      <c r="Y272" s="290" t="e">
        <f t="shared" si="88"/>
        <v>#NUM!</v>
      </c>
      <c r="Z272" s="290">
        <f t="shared" si="101"/>
        <v>0</v>
      </c>
      <c r="AA272" s="291"/>
      <c r="AC272"/>
      <c r="AD272"/>
      <c r="AE272"/>
      <c r="AF272"/>
      <c r="AG272"/>
      <c r="AH272"/>
      <c r="AI272"/>
      <c r="AJ272"/>
    </row>
    <row r="273" spans="1:36" hidden="1">
      <c r="A273" s="292">
        <f t="shared" si="102"/>
        <v>19</v>
      </c>
      <c r="B273" s="293">
        <f t="shared" si="93"/>
        <v>221</v>
      </c>
      <c r="C273" s="294">
        <f t="shared" si="94"/>
        <v>52749</v>
      </c>
      <c r="D273" s="295">
        <f t="shared" si="89"/>
        <v>3055707.125808937</v>
      </c>
      <c r="E273" s="295">
        <f t="shared" si="90"/>
        <v>-30010.234142609712</v>
      </c>
      <c r="F273" s="295">
        <f t="shared" si="81"/>
        <v>-15368.304164775232</v>
      </c>
      <c r="G273" s="295">
        <f t="shared" si="82"/>
        <v>-14641.929977834479</v>
      </c>
      <c r="H273" s="298">
        <f t="shared" si="83"/>
        <v>3040338.8216441618</v>
      </c>
      <c r="J273" s="292">
        <f t="shared" si="103"/>
        <v>19</v>
      </c>
      <c r="K273" s="293">
        <f t="shared" si="95"/>
        <v>221</v>
      </c>
      <c r="L273" s="294">
        <f t="shared" si="96"/>
        <v>6696</v>
      </c>
      <c r="M273" s="295">
        <f t="shared" si="91"/>
        <v>0</v>
      </c>
      <c r="N273" s="295" t="e">
        <f t="shared" si="92"/>
        <v>#NUM!</v>
      </c>
      <c r="O273" s="295">
        <f t="shared" si="84"/>
        <v>0</v>
      </c>
      <c r="P273" s="295">
        <f t="shared" si="85"/>
        <v>0</v>
      </c>
      <c r="Q273" s="298">
        <f t="shared" si="86"/>
        <v>0</v>
      </c>
      <c r="S273" s="292">
        <f t="shared" si="104"/>
        <v>19</v>
      </c>
      <c r="T273" s="293">
        <f t="shared" si="97"/>
        <v>221</v>
      </c>
      <c r="U273" s="294">
        <f t="shared" si="98"/>
        <v>6696</v>
      </c>
      <c r="V273" s="295">
        <f t="shared" si="99"/>
        <v>0</v>
      </c>
      <c r="W273" s="290" t="e">
        <f t="shared" si="100"/>
        <v>#NUM!</v>
      </c>
      <c r="X273" s="295">
        <f t="shared" si="87"/>
        <v>0</v>
      </c>
      <c r="Y273" s="295" t="e">
        <f t="shared" si="88"/>
        <v>#NUM!</v>
      </c>
      <c r="Z273" s="295">
        <f t="shared" si="101"/>
        <v>0</v>
      </c>
      <c r="AA273" s="298"/>
      <c r="AC273"/>
      <c r="AD273"/>
      <c r="AE273"/>
      <c r="AF273"/>
      <c r="AG273"/>
      <c r="AH273"/>
      <c r="AI273"/>
      <c r="AJ273"/>
    </row>
    <row r="274" spans="1:36" hidden="1">
      <c r="A274" s="287">
        <f t="shared" si="102"/>
        <v>19</v>
      </c>
      <c r="B274" s="288">
        <f t="shared" si="93"/>
        <v>222</v>
      </c>
      <c r="C274" s="289">
        <f t="shared" si="94"/>
        <v>52779</v>
      </c>
      <c r="D274" s="290">
        <f t="shared" si="89"/>
        <v>3040338.8216441618</v>
      </c>
      <c r="E274" s="290">
        <f t="shared" si="90"/>
        <v>-30010.234142609712</v>
      </c>
      <c r="F274" s="290">
        <f t="shared" si="81"/>
        <v>-15441.94395556478</v>
      </c>
      <c r="G274" s="290">
        <f t="shared" si="82"/>
        <v>-14568.290187044933</v>
      </c>
      <c r="H274" s="291">
        <f t="shared" si="83"/>
        <v>3024896.877688597</v>
      </c>
      <c r="J274" s="287">
        <f t="shared" si="103"/>
        <v>19</v>
      </c>
      <c r="K274" s="288">
        <f t="shared" si="95"/>
        <v>222</v>
      </c>
      <c r="L274" s="289">
        <f t="shared" si="96"/>
        <v>6727</v>
      </c>
      <c r="M274" s="290">
        <f t="shared" si="91"/>
        <v>0</v>
      </c>
      <c r="N274" s="290" t="e">
        <f t="shared" si="92"/>
        <v>#NUM!</v>
      </c>
      <c r="O274" s="290">
        <f t="shared" si="84"/>
        <v>0</v>
      </c>
      <c r="P274" s="290">
        <f t="shared" si="85"/>
        <v>0</v>
      </c>
      <c r="Q274" s="291">
        <f t="shared" si="86"/>
        <v>0</v>
      </c>
      <c r="S274" s="287">
        <f t="shared" si="104"/>
        <v>19</v>
      </c>
      <c r="T274" s="288">
        <f t="shared" si="97"/>
        <v>222</v>
      </c>
      <c r="U274" s="289">
        <f t="shared" si="98"/>
        <v>6727</v>
      </c>
      <c r="V274" s="290">
        <f t="shared" si="99"/>
        <v>0</v>
      </c>
      <c r="W274" s="290" t="e">
        <f t="shared" si="100"/>
        <v>#NUM!</v>
      </c>
      <c r="X274" s="290">
        <f t="shared" si="87"/>
        <v>0</v>
      </c>
      <c r="Y274" s="290" t="e">
        <f t="shared" si="88"/>
        <v>#NUM!</v>
      </c>
      <c r="Z274" s="290">
        <f t="shared" si="101"/>
        <v>0</v>
      </c>
      <c r="AA274" s="291"/>
      <c r="AC274"/>
      <c r="AD274"/>
      <c r="AE274"/>
      <c r="AF274"/>
      <c r="AG274"/>
      <c r="AH274"/>
      <c r="AI274"/>
      <c r="AJ274"/>
    </row>
    <row r="275" spans="1:36" hidden="1">
      <c r="A275" s="292">
        <f t="shared" si="102"/>
        <v>19</v>
      </c>
      <c r="B275" s="293">
        <f t="shared" si="93"/>
        <v>223</v>
      </c>
      <c r="C275" s="294">
        <f t="shared" si="94"/>
        <v>52810</v>
      </c>
      <c r="D275" s="295">
        <f t="shared" si="89"/>
        <v>3024896.877688597</v>
      </c>
      <c r="E275" s="295">
        <f t="shared" si="90"/>
        <v>-30010.234142609712</v>
      </c>
      <c r="F275" s="295">
        <f t="shared" si="81"/>
        <v>-15515.936603685195</v>
      </c>
      <c r="G275" s="295">
        <f t="shared" si="82"/>
        <v>-14494.29753892452</v>
      </c>
      <c r="H275" s="296">
        <f t="shared" si="83"/>
        <v>3009380.9410849116</v>
      </c>
      <c r="J275" s="292">
        <f t="shared" si="103"/>
        <v>19</v>
      </c>
      <c r="K275" s="293">
        <f t="shared" si="95"/>
        <v>223</v>
      </c>
      <c r="L275" s="294">
        <f t="shared" si="96"/>
        <v>6757</v>
      </c>
      <c r="M275" s="295">
        <f t="shared" si="91"/>
        <v>0</v>
      </c>
      <c r="N275" s="295" t="e">
        <f t="shared" si="92"/>
        <v>#NUM!</v>
      </c>
      <c r="O275" s="295">
        <f t="shared" si="84"/>
        <v>0</v>
      </c>
      <c r="P275" s="295">
        <f t="shared" si="85"/>
        <v>0</v>
      </c>
      <c r="Q275" s="296">
        <f t="shared" si="86"/>
        <v>0</v>
      </c>
      <c r="S275" s="292">
        <f t="shared" si="104"/>
        <v>19</v>
      </c>
      <c r="T275" s="293">
        <f t="shared" si="97"/>
        <v>223</v>
      </c>
      <c r="U275" s="294">
        <f t="shared" si="98"/>
        <v>6757</v>
      </c>
      <c r="V275" s="295">
        <f t="shared" si="99"/>
        <v>0</v>
      </c>
      <c r="W275" s="290" t="e">
        <f t="shared" si="100"/>
        <v>#NUM!</v>
      </c>
      <c r="X275" s="295">
        <f t="shared" si="87"/>
        <v>0</v>
      </c>
      <c r="Y275" s="295" t="e">
        <f t="shared" si="88"/>
        <v>#NUM!</v>
      </c>
      <c r="Z275" s="295">
        <f t="shared" si="101"/>
        <v>0</v>
      </c>
      <c r="AA275" s="296"/>
      <c r="AC275"/>
      <c r="AD275"/>
      <c r="AE275"/>
      <c r="AF275"/>
      <c r="AG275"/>
      <c r="AH275"/>
      <c r="AI275"/>
      <c r="AJ275"/>
    </row>
    <row r="276" spans="1:36" hidden="1">
      <c r="A276" s="287">
        <f t="shared" si="102"/>
        <v>19</v>
      </c>
      <c r="B276" s="288">
        <f t="shared" si="93"/>
        <v>224</v>
      </c>
      <c r="C276" s="289">
        <f t="shared" si="94"/>
        <v>52841</v>
      </c>
      <c r="D276" s="290">
        <f t="shared" si="89"/>
        <v>3009380.9410849116</v>
      </c>
      <c r="E276" s="290">
        <f t="shared" si="90"/>
        <v>-30010.234142609712</v>
      </c>
      <c r="F276" s="290">
        <f t="shared" si="81"/>
        <v>-15590.283799911185</v>
      </c>
      <c r="G276" s="290">
        <f t="shared" si="82"/>
        <v>-14419.950342698525</v>
      </c>
      <c r="H276" s="291">
        <f t="shared" si="83"/>
        <v>2993790.6572850002</v>
      </c>
      <c r="J276" s="287">
        <f t="shared" si="103"/>
        <v>19</v>
      </c>
      <c r="K276" s="288">
        <f t="shared" si="95"/>
        <v>224</v>
      </c>
      <c r="L276" s="289">
        <f t="shared" si="96"/>
        <v>6788</v>
      </c>
      <c r="M276" s="290">
        <f t="shared" si="91"/>
        <v>0</v>
      </c>
      <c r="N276" s="290" t="e">
        <f t="shared" si="92"/>
        <v>#NUM!</v>
      </c>
      <c r="O276" s="290">
        <f t="shared" si="84"/>
        <v>0</v>
      </c>
      <c r="P276" s="290">
        <f t="shared" si="85"/>
        <v>0</v>
      </c>
      <c r="Q276" s="291">
        <f t="shared" si="86"/>
        <v>0</v>
      </c>
      <c r="S276" s="287">
        <f t="shared" si="104"/>
        <v>19</v>
      </c>
      <c r="T276" s="288">
        <f t="shared" si="97"/>
        <v>224</v>
      </c>
      <c r="U276" s="289">
        <f t="shared" si="98"/>
        <v>6788</v>
      </c>
      <c r="V276" s="290">
        <f t="shared" si="99"/>
        <v>0</v>
      </c>
      <c r="W276" s="290" t="e">
        <f t="shared" si="100"/>
        <v>#NUM!</v>
      </c>
      <c r="X276" s="290">
        <f t="shared" si="87"/>
        <v>0</v>
      </c>
      <c r="Y276" s="290" t="e">
        <f t="shared" si="88"/>
        <v>#NUM!</v>
      </c>
      <c r="Z276" s="290">
        <f t="shared" si="101"/>
        <v>0</v>
      </c>
      <c r="AA276" s="291"/>
      <c r="AC276"/>
      <c r="AD276"/>
      <c r="AE276"/>
      <c r="AF276"/>
      <c r="AG276"/>
      <c r="AH276"/>
      <c r="AI276"/>
      <c r="AJ276"/>
    </row>
    <row r="277" spans="1:36" hidden="1">
      <c r="A277" s="292">
        <f t="shared" si="102"/>
        <v>19</v>
      </c>
      <c r="B277" s="293">
        <f t="shared" si="93"/>
        <v>225</v>
      </c>
      <c r="C277" s="294">
        <f t="shared" si="94"/>
        <v>52871</v>
      </c>
      <c r="D277" s="295">
        <f t="shared" si="89"/>
        <v>2993790.6572850002</v>
      </c>
      <c r="E277" s="295">
        <f t="shared" si="90"/>
        <v>-30010.234142609712</v>
      </c>
      <c r="F277" s="295">
        <f t="shared" si="81"/>
        <v>-15664.987243119092</v>
      </c>
      <c r="G277" s="295">
        <f t="shared" si="82"/>
        <v>-14345.246899490621</v>
      </c>
      <c r="H277" s="298">
        <f t="shared" si="83"/>
        <v>2978125.670041881</v>
      </c>
      <c r="J277" s="292">
        <f t="shared" si="103"/>
        <v>19</v>
      </c>
      <c r="K277" s="293">
        <f t="shared" si="95"/>
        <v>225</v>
      </c>
      <c r="L277" s="294">
        <f t="shared" si="96"/>
        <v>6819</v>
      </c>
      <c r="M277" s="295">
        <f t="shared" si="91"/>
        <v>0</v>
      </c>
      <c r="N277" s="295" t="e">
        <f t="shared" si="92"/>
        <v>#NUM!</v>
      </c>
      <c r="O277" s="295">
        <f t="shared" si="84"/>
        <v>0</v>
      </c>
      <c r="P277" s="295">
        <f t="shared" si="85"/>
        <v>0</v>
      </c>
      <c r="Q277" s="298">
        <f t="shared" si="86"/>
        <v>0</v>
      </c>
      <c r="S277" s="292">
        <f t="shared" si="104"/>
        <v>19</v>
      </c>
      <c r="T277" s="293">
        <f t="shared" si="97"/>
        <v>225</v>
      </c>
      <c r="U277" s="294">
        <f t="shared" si="98"/>
        <v>6819</v>
      </c>
      <c r="V277" s="295">
        <f t="shared" si="99"/>
        <v>0</v>
      </c>
      <c r="W277" s="290" t="e">
        <f t="shared" si="100"/>
        <v>#NUM!</v>
      </c>
      <c r="X277" s="295">
        <f t="shared" si="87"/>
        <v>0</v>
      </c>
      <c r="Y277" s="295" t="e">
        <f t="shared" si="88"/>
        <v>#NUM!</v>
      </c>
      <c r="Z277" s="295">
        <f t="shared" si="101"/>
        <v>0</v>
      </c>
      <c r="AA277" s="298"/>
      <c r="AC277"/>
      <c r="AD277"/>
      <c r="AE277"/>
      <c r="AF277"/>
      <c r="AG277"/>
      <c r="AH277"/>
      <c r="AI277"/>
      <c r="AJ277"/>
    </row>
    <row r="278" spans="1:36" hidden="1">
      <c r="A278" s="287">
        <f t="shared" si="102"/>
        <v>19</v>
      </c>
      <c r="B278" s="288">
        <f t="shared" si="93"/>
        <v>226</v>
      </c>
      <c r="C278" s="289">
        <f t="shared" si="94"/>
        <v>52902</v>
      </c>
      <c r="D278" s="290">
        <f t="shared" si="89"/>
        <v>2978125.670041881</v>
      </c>
      <c r="E278" s="290">
        <f t="shared" si="90"/>
        <v>-30010.234142609712</v>
      </c>
      <c r="F278" s="290">
        <f t="shared" si="81"/>
        <v>-15740.048640325707</v>
      </c>
      <c r="G278" s="290">
        <f t="shared" si="82"/>
        <v>-14270.185502284006</v>
      </c>
      <c r="H278" s="291">
        <f t="shared" si="83"/>
        <v>2962385.6214015554</v>
      </c>
      <c r="J278" s="287">
        <f t="shared" si="103"/>
        <v>19</v>
      </c>
      <c r="K278" s="288">
        <f t="shared" si="95"/>
        <v>226</v>
      </c>
      <c r="L278" s="289">
        <f t="shared" si="96"/>
        <v>6849</v>
      </c>
      <c r="M278" s="290">
        <f t="shared" si="91"/>
        <v>0</v>
      </c>
      <c r="N278" s="290" t="e">
        <f t="shared" si="92"/>
        <v>#NUM!</v>
      </c>
      <c r="O278" s="290">
        <f t="shared" si="84"/>
        <v>0</v>
      </c>
      <c r="P278" s="290">
        <f t="shared" si="85"/>
        <v>0</v>
      </c>
      <c r="Q278" s="291">
        <f t="shared" si="86"/>
        <v>0</v>
      </c>
      <c r="S278" s="287">
        <f t="shared" si="104"/>
        <v>19</v>
      </c>
      <c r="T278" s="288">
        <f t="shared" si="97"/>
        <v>226</v>
      </c>
      <c r="U278" s="289">
        <f t="shared" si="98"/>
        <v>6849</v>
      </c>
      <c r="V278" s="290">
        <f t="shared" si="99"/>
        <v>0</v>
      </c>
      <c r="W278" s="290" t="e">
        <f t="shared" si="100"/>
        <v>#NUM!</v>
      </c>
      <c r="X278" s="290">
        <f t="shared" si="87"/>
        <v>0</v>
      </c>
      <c r="Y278" s="290" t="e">
        <f t="shared" si="88"/>
        <v>#NUM!</v>
      </c>
      <c r="Z278" s="290">
        <f t="shared" si="101"/>
        <v>0</v>
      </c>
      <c r="AA278" s="291"/>
      <c r="AC278"/>
      <c r="AD278"/>
      <c r="AE278"/>
      <c r="AF278"/>
      <c r="AG278"/>
      <c r="AH278"/>
      <c r="AI278"/>
      <c r="AJ278"/>
    </row>
    <row r="279" spans="1:36" hidden="1">
      <c r="A279" s="292">
        <f t="shared" si="102"/>
        <v>19</v>
      </c>
      <c r="B279" s="293">
        <f t="shared" si="93"/>
        <v>227</v>
      </c>
      <c r="C279" s="294">
        <f t="shared" si="94"/>
        <v>52932</v>
      </c>
      <c r="D279" s="295">
        <f t="shared" si="89"/>
        <v>2962385.6214015554</v>
      </c>
      <c r="E279" s="295">
        <f t="shared" si="90"/>
        <v>-30010.234142609712</v>
      </c>
      <c r="F279" s="295">
        <f t="shared" si="81"/>
        <v>-15815.469706727268</v>
      </c>
      <c r="G279" s="295">
        <f t="shared" si="82"/>
        <v>-14194.764435882445</v>
      </c>
      <c r="H279" s="296">
        <f t="shared" si="83"/>
        <v>2946570.1516948282</v>
      </c>
      <c r="J279" s="292">
        <f t="shared" si="103"/>
        <v>19</v>
      </c>
      <c r="K279" s="293">
        <f t="shared" si="95"/>
        <v>227</v>
      </c>
      <c r="L279" s="294">
        <f t="shared" si="96"/>
        <v>6880</v>
      </c>
      <c r="M279" s="295">
        <f t="shared" si="91"/>
        <v>0</v>
      </c>
      <c r="N279" s="295" t="e">
        <f t="shared" si="92"/>
        <v>#NUM!</v>
      </c>
      <c r="O279" s="295">
        <f t="shared" si="84"/>
        <v>0</v>
      </c>
      <c r="P279" s="295">
        <f t="shared" si="85"/>
        <v>0</v>
      </c>
      <c r="Q279" s="296">
        <f t="shared" si="86"/>
        <v>0</v>
      </c>
      <c r="S279" s="292">
        <f t="shared" si="104"/>
        <v>19</v>
      </c>
      <c r="T279" s="293">
        <f t="shared" si="97"/>
        <v>227</v>
      </c>
      <c r="U279" s="294">
        <f t="shared" si="98"/>
        <v>6880</v>
      </c>
      <c r="V279" s="295">
        <f t="shared" si="99"/>
        <v>0</v>
      </c>
      <c r="W279" s="290" t="e">
        <f t="shared" si="100"/>
        <v>#NUM!</v>
      </c>
      <c r="X279" s="295">
        <f t="shared" si="87"/>
        <v>0</v>
      </c>
      <c r="Y279" s="295" t="e">
        <f t="shared" si="88"/>
        <v>#NUM!</v>
      </c>
      <c r="Z279" s="295">
        <f t="shared" si="101"/>
        <v>0</v>
      </c>
      <c r="AA279" s="296"/>
      <c r="AC279"/>
      <c r="AD279"/>
      <c r="AE279"/>
      <c r="AF279"/>
      <c r="AG279"/>
      <c r="AH279"/>
      <c r="AI279"/>
      <c r="AJ279"/>
    </row>
    <row r="280" spans="1:36" hidden="1">
      <c r="A280" s="287">
        <f t="shared" si="102"/>
        <v>19</v>
      </c>
      <c r="B280" s="288">
        <f t="shared" si="93"/>
        <v>228</v>
      </c>
      <c r="C280" s="289">
        <f t="shared" si="94"/>
        <v>52963</v>
      </c>
      <c r="D280" s="290">
        <f t="shared" si="89"/>
        <v>2946570.1516948282</v>
      </c>
      <c r="E280" s="290">
        <f t="shared" si="90"/>
        <v>-30010.234142609712</v>
      </c>
      <c r="F280" s="290">
        <f t="shared" si="81"/>
        <v>-15891.25216573867</v>
      </c>
      <c r="G280" s="290">
        <f t="shared" si="82"/>
        <v>-14118.981976871046</v>
      </c>
      <c r="H280" s="291">
        <f t="shared" si="83"/>
        <v>2930678.8995290897</v>
      </c>
      <c r="J280" s="287">
        <f t="shared" si="103"/>
        <v>19</v>
      </c>
      <c r="K280" s="288">
        <f t="shared" si="95"/>
        <v>228</v>
      </c>
      <c r="L280" s="289">
        <f t="shared" si="96"/>
        <v>6910</v>
      </c>
      <c r="M280" s="290">
        <f t="shared" si="91"/>
        <v>0</v>
      </c>
      <c r="N280" s="290" t="e">
        <f t="shared" si="92"/>
        <v>#NUM!</v>
      </c>
      <c r="O280" s="290">
        <f t="shared" si="84"/>
        <v>0</v>
      </c>
      <c r="P280" s="290">
        <f t="shared" si="85"/>
        <v>0</v>
      </c>
      <c r="Q280" s="291">
        <f t="shared" si="86"/>
        <v>0</v>
      </c>
      <c r="S280" s="287">
        <f t="shared" si="104"/>
        <v>19</v>
      </c>
      <c r="T280" s="288">
        <f t="shared" si="97"/>
        <v>228</v>
      </c>
      <c r="U280" s="289">
        <f t="shared" si="98"/>
        <v>6910</v>
      </c>
      <c r="V280" s="290">
        <f t="shared" si="99"/>
        <v>0</v>
      </c>
      <c r="W280" s="290" t="e">
        <f t="shared" si="100"/>
        <v>#NUM!</v>
      </c>
      <c r="X280" s="290">
        <f t="shared" si="87"/>
        <v>0</v>
      </c>
      <c r="Y280" s="290" t="e">
        <f t="shared" si="88"/>
        <v>#NUM!</v>
      </c>
      <c r="Z280" s="290">
        <f t="shared" si="101"/>
        <v>0</v>
      </c>
      <c r="AA280" s="291"/>
      <c r="AC280"/>
      <c r="AD280"/>
      <c r="AE280"/>
      <c r="AF280"/>
      <c r="AG280"/>
      <c r="AH280"/>
      <c r="AI280"/>
      <c r="AJ280"/>
    </row>
    <row r="281" spans="1:36" hidden="1">
      <c r="A281" s="292">
        <f t="shared" si="102"/>
        <v>20</v>
      </c>
      <c r="B281" s="293">
        <f t="shared" si="93"/>
        <v>229</v>
      </c>
      <c r="C281" s="294">
        <f t="shared" si="94"/>
        <v>52994</v>
      </c>
      <c r="D281" s="295">
        <f t="shared" si="89"/>
        <v>2930678.8995290897</v>
      </c>
      <c r="E281" s="295">
        <f t="shared" si="90"/>
        <v>-30010.234142609712</v>
      </c>
      <c r="F281" s="295">
        <f t="shared" si="81"/>
        <v>-15967.397749032833</v>
      </c>
      <c r="G281" s="295">
        <f t="shared" si="82"/>
        <v>-14042.836393576878</v>
      </c>
      <c r="H281" s="298">
        <f t="shared" si="83"/>
        <v>2914711.5017800569</v>
      </c>
      <c r="J281" s="292">
        <f t="shared" si="103"/>
        <v>20</v>
      </c>
      <c r="K281" s="293">
        <f t="shared" si="95"/>
        <v>229</v>
      </c>
      <c r="L281" s="294">
        <f t="shared" si="96"/>
        <v>6941</v>
      </c>
      <c r="M281" s="295">
        <f t="shared" si="91"/>
        <v>0</v>
      </c>
      <c r="N281" s="295" t="e">
        <f t="shared" si="92"/>
        <v>#NUM!</v>
      </c>
      <c r="O281" s="295">
        <f t="shared" si="84"/>
        <v>0</v>
      </c>
      <c r="P281" s="295">
        <f t="shared" si="85"/>
        <v>0</v>
      </c>
      <c r="Q281" s="298">
        <f t="shared" si="86"/>
        <v>0</v>
      </c>
      <c r="S281" s="292">
        <f t="shared" si="104"/>
        <v>20</v>
      </c>
      <c r="T281" s="293">
        <f t="shared" si="97"/>
        <v>229</v>
      </c>
      <c r="U281" s="294">
        <f t="shared" si="98"/>
        <v>6941</v>
      </c>
      <c r="V281" s="295">
        <f t="shared" si="99"/>
        <v>0</v>
      </c>
      <c r="W281" s="290" t="e">
        <f t="shared" si="100"/>
        <v>#NUM!</v>
      </c>
      <c r="X281" s="295">
        <f t="shared" si="87"/>
        <v>0</v>
      </c>
      <c r="Y281" s="295" t="e">
        <f t="shared" si="88"/>
        <v>#NUM!</v>
      </c>
      <c r="Z281" s="295">
        <f t="shared" si="101"/>
        <v>0</v>
      </c>
      <c r="AA281" s="298"/>
      <c r="AC281"/>
      <c r="AD281"/>
      <c r="AE281"/>
      <c r="AF281"/>
      <c r="AG281"/>
      <c r="AH281"/>
      <c r="AI281"/>
      <c r="AJ281"/>
    </row>
    <row r="282" spans="1:36" hidden="1">
      <c r="A282" s="287">
        <f t="shared" si="102"/>
        <v>20</v>
      </c>
      <c r="B282" s="288">
        <f t="shared" si="93"/>
        <v>230</v>
      </c>
      <c r="C282" s="289">
        <f t="shared" si="94"/>
        <v>53022</v>
      </c>
      <c r="D282" s="290">
        <f t="shared" si="89"/>
        <v>2914711.5017800569</v>
      </c>
      <c r="E282" s="290">
        <f t="shared" si="90"/>
        <v>-30010.234142609712</v>
      </c>
      <c r="F282" s="290">
        <f t="shared" si="81"/>
        <v>-16043.908196580282</v>
      </c>
      <c r="G282" s="290">
        <f t="shared" si="82"/>
        <v>-13966.325946029432</v>
      </c>
      <c r="H282" s="291">
        <f t="shared" si="83"/>
        <v>2898667.5935834767</v>
      </c>
      <c r="J282" s="287">
        <f t="shared" si="103"/>
        <v>20</v>
      </c>
      <c r="K282" s="288">
        <f t="shared" si="95"/>
        <v>230</v>
      </c>
      <c r="L282" s="289">
        <f t="shared" si="96"/>
        <v>6972</v>
      </c>
      <c r="M282" s="290">
        <f t="shared" si="91"/>
        <v>0</v>
      </c>
      <c r="N282" s="290" t="e">
        <f t="shared" si="92"/>
        <v>#NUM!</v>
      </c>
      <c r="O282" s="290">
        <f t="shared" si="84"/>
        <v>0</v>
      </c>
      <c r="P282" s="290">
        <f t="shared" si="85"/>
        <v>0</v>
      </c>
      <c r="Q282" s="291">
        <f t="shared" si="86"/>
        <v>0</v>
      </c>
      <c r="S282" s="287">
        <f t="shared" si="104"/>
        <v>20</v>
      </c>
      <c r="T282" s="288">
        <f t="shared" si="97"/>
        <v>230</v>
      </c>
      <c r="U282" s="289">
        <f t="shared" si="98"/>
        <v>6972</v>
      </c>
      <c r="V282" s="290">
        <f t="shared" si="99"/>
        <v>0</v>
      </c>
      <c r="W282" s="290" t="e">
        <f t="shared" si="100"/>
        <v>#NUM!</v>
      </c>
      <c r="X282" s="290">
        <f t="shared" si="87"/>
        <v>0</v>
      </c>
      <c r="Y282" s="290" t="e">
        <f t="shared" si="88"/>
        <v>#NUM!</v>
      </c>
      <c r="Z282" s="290">
        <f t="shared" si="101"/>
        <v>0</v>
      </c>
      <c r="AA282" s="291"/>
      <c r="AC282"/>
      <c r="AD282"/>
      <c r="AE282"/>
      <c r="AF282"/>
      <c r="AG282"/>
      <c r="AH282"/>
      <c r="AI282"/>
      <c r="AJ282"/>
    </row>
    <row r="283" spans="1:36" hidden="1">
      <c r="A283" s="292">
        <f t="shared" si="102"/>
        <v>20</v>
      </c>
      <c r="B283" s="293">
        <f t="shared" si="93"/>
        <v>231</v>
      </c>
      <c r="C283" s="294">
        <f t="shared" si="94"/>
        <v>53053</v>
      </c>
      <c r="D283" s="295">
        <f t="shared" si="89"/>
        <v>2898667.5935834767</v>
      </c>
      <c r="E283" s="295">
        <f t="shared" si="90"/>
        <v>-30010.234142609712</v>
      </c>
      <c r="F283" s="295">
        <f t="shared" si="81"/>
        <v>-16120.785256688896</v>
      </c>
      <c r="G283" s="295">
        <f t="shared" si="82"/>
        <v>-13889.448885920816</v>
      </c>
      <c r="H283" s="296">
        <f t="shared" si="83"/>
        <v>2882546.8083267878</v>
      </c>
      <c r="J283" s="292">
        <f t="shared" si="103"/>
        <v>20</v>
      </c>
      <c r="K283" s="293">
        <f t="shared" si="95"/>
        <v>231</v>
      </c>
      <c r="L283" s="294">
        <f t="shared" si="96"/>
        <v>7000</v>
      </c>
      <c r="M283" s="295">
        <f t="shared" si="91"/>
        <v>0</v>
      </c>
      <c r="N283" s="295" t="e">
        <f t="shared" si="92"/>
        <v>#NUM!</v>
      </c>
      <c r="O283" s="295">
        <f t="shared" si="84"/>
        <v>0</v>
      </c>
      <c r="P283" s="295">
        <f t="shared" si="85"/>
        <v>0</v>
      </c>
      <c r="Q283" s="296">
        <f t="shared" si="86"/>
        <v>0</v>
      </c>
      <c r="S283" s="292">
        <f t="shared" si="104"/>
        <v>20</v>
      </c>
      <c r="T283" s="293">
        <f t="shared" si="97"/>
        <v>231</v>
      </c>
      <c r="U283" s="294">
        <f t="shared" si="98"/>
        <v>7000</v>
      </c>
      <c r="V283" s="295">
        <f t="shared" si="99"/>
        <v>0</v>
      </c>
      <c r="W283" s="290" t="e">
        <f t="shared" si="100"/>
        <v>#NUM!</v>
      </c>
      <c r="X283" s="295">
        <f t="shared" si="87"/>
        <v>0</v>
      </c>
      <c r="Y283" s="295" t="e">
        <f t="shared" si="88"/>
        <v>#NUM!</v>
      </c>
      <c r="Z283" s="295">
        <f t="shared" si="101"/>
        <v>0</v>
      </c>
      <c r="AA283" s="296"/>
      <c r="AC283"/>
      <c r="AD283"/>
      <c r="AE283"/>
      <c r="AF283"/>
      <c r="AG283"/>
      <c r="AH283"/>
      <c r="AI283"/>
      <c r="AJ283"/>
    </row>
    <row r="284" spans="1:36" hidden="1">
      <c r="A284" s="287">
        <f t="shared" si="102"/>
        <v>20</v>
      </c>
      <c r="B284" s="288">
        <f t="shared" si="93"/>
        <v>232</v>
      </c>
      <c r="C284" s="289">
        <f t="shared" si="94"/>
        <v>53083</v>
      </c>
      <c r="D284" s="290">
        <f t="shared" si="89"/>
        <v>2882546.8083267878</v>
      </c>
      <c r="E284" s="290">
        <f t="shared" si="90"/>
        <v>-30010.234142609712</v>
      </c>
      <c r="F284" s="290">
        <f t="shared" si="81"/>
        <v>-16198.030686043865</v>
      </c>
      <c r="G284" s="290">
        <f t="shared" si="82"/>
        <v>-13812.203456565849</v>
      </c>
      <c r="H284" s="291">
        <f t="shared" si="83"/>
        <v>2866348.7776407441</v>
      </c>
      <c r="J284" s="287">
        <f t="shared" si="103"/>
        <v>20</v>
      </c>
      <c r="K284" s="288">
        <f t="shared" si="95"/>
        <v>232</v>
      </c>
      <c r="L284" s="289">
        <f t="shared" si="96"/>
        <v>7031</v>
      </c>
      <c r="M284" s="290">
        <f t="shared" si="91"/>
        <v>0</v>
      </c>
      <c r="N284" s="290" t="e">
        <f t="shared" si="92"/>
        <v>#NUM!</v>
      </c>
      <c r="O284" s="290">
        <f t="shared" si="84"/>
        <v>0</v>
      </c>
      <c r="P284" s="290">
        <f t="shared" si="85"/>
        <v>0</v>
      </c>
      <c r="Q284" s="291">
        <f t="shared" si="86"/>
        <v>0</v>
      </c>
      <c r="S284" s="287">
        <f t="shared" si="104"/>
        <v>20</v>
      </c>
      <c r="T284" s="288">
        <f t="shared" si="97"/>
        <v>232</v>
      </c>
      <c r="U284" s="289">
        <f t="shared" si="98"/>
        <v>7031</v>
      </c>
      <c r="V284" s="290">
        <f t="shared" si="99"/>
        <v>0</v>
      </c>
      <c r="W284" s="290" t="e">
        <f t="shared" si="100"/>
        <v>#NUM!</v>
      </c>
      <c r="X284" s="290">
        <f t="shared" si="87"/>
        <v>0</v>
      </c>
      <c r="Y284" s="290" t="e">
        <f t="shared" si="88"/>
        <v>#NUM!</v>
      </c>
      <c r="Z284" s="290">
        <f t="shared" si="101"/>
        <v>0</v>
      </c>
      <c r="AA284" s="291"/>
      <c r="AC284"/>
      <c r="AD284"/>
      <c r="AE284"/>
      <c r="AF284"/>
      <c r="AG284"/>
      <c r="AH284"/>
      <c r="AI284"/>
      <c r="AJ284"/>
    </row>
    <row r="285" spans="1:36" hidden="1">
      <c r="A285" s="292">
        <f t="shared" si="102"/>
        <v>20</v>
      </c>
      <c r="B285" s="293">
        <f t="shared" si="93"/>
        <v>233</v>
      </c>
      <c r="C285" s="294">
        <f t="shared" si="94"/>
        <v>53114</v>
      </c>
      <c r="D285" s="295">
        <f t="shared" si="89"/>
        <v>2866348.7776407441</v>
      </c>
      <c r="E285" s="295">
        <f t="shared" si="90"/>
        <v>-30010.234142609712</v>
      </c>
      <c r="F285" s="295">
        <f t="shared" si="81"/>
        <v>-16275.646249747824</v>
      </c>
      <c r="G285" s="295">
        <f t="shared" si="82"/>
        <v>-13734.587892861889</v>
      </c>
      <c r="H285" s="298">
        <f t="shared" si="83"/>
        <v>2850073.1313909963</v>
      </c>
      <c r="J285" s="292">
        <f t="shared" si="103"/>
        <v>20</v>
      </c>
      <c r="K285" s="293">
        <f t="shared" si="95"/>
        <v>233</v>
      </c>
      <c r="L285" s="294">
        <f t="shared" si="96"/>
        <v>7061</v>
      </c>
      <c r="M285" s="295">
        <f t="shared" si="91"/>
        <v>0</v>
      </c>
      <c r="N285" s="295" t="e">
        <f t="shared" si="92"/>
        <v>#NUM!</v>
      </c>
      <c r="O285" s="295">
        <f t="shared" si="84"/>
        <v>0</v>
      </c>
      <c r="P285" s="295">
        <f t="shared" si="85"/>
        <v>0</v>
      </c>
      <c r="Q285" s="298">
        <f t="shared" si="86"/>
        <v>0</v>
      </c>
      <c r="S285" s="292">
        <f t="shared" si="104"/>
        <v>20</v>
      </c>
      <c r="T285" s="293">
        <f t="shared" si="97"/>
        <v>233</v>
      </c>
      <c r="U285" s="294">
        <f t="shared" si="98"/>
        <v>7061</v>
      </c>
      <c r="V285" s="295">
        <f t="shared" si="99"/>
        <v>0</v>
      </c>
      <c r="W285" s="290" t="e">
        <f t="shared" si="100"/>
        <v>#NUM!</v>
      </c>
      <c r="X285" s="295">
        <f t="shared" si="87"/>
        <v>0</v>
      </c>
      <c r="Y285" s="295" t="e">
        <f t="shared" si="88"/>
        <v>#NUM!</v>
      </c>
      <c r="Z285" s="295">
        <f t="shared" si="101"/>
        <v>0</v>
      </c>
      <c r="AA285" s="298"/>
      <c r="AC285"/>
      <c r="AD285"/>
      <c r="AE285"/>
      <c r="AF285"/>
      <c r="AG285"/>
      <c r="AH285"/>
      <c r="AI285"/>
      <c r="AJ285"/>
    </row>
    <row r="286" spans="1:36" hidden="1">
      <c r="A286" s="287">
        <f t="shared" si="102"/>
        <v>20</v>
      </c>
      <c r="B286" s="288">
        <f t="shared" si="93"/>
        <v>234</v>
      </c>
      <c r="C286" s="289">
        <f t="shared" si="94"/>
        <v>53144</v>
      </c>
      <c r="D286" s="290">
        <f t="shared" si="89"/>
        <v>2850073.1313909963</v>
      </c>
      <c r="E286" s="290">
        <f t="shared" si="90"/>
        <v>-30010.234142609712</v>
      </c>
      <c r="F286" s="290">
        <f t="shared" si="81"/>
        <v>-16353.633721361197</v>
      </c>
      <c r="G286" s="290">
        <f t="shared" si="82"/>
        <v>-13656.600421248517</v>
      </c>
      <c r="H286" s="291">
        <f t="shared" si="83"/>
        <v>2833719.4976696349</v>
      </c>
      <c r="J286" s="287">
        <f t="shared" si="103"/>
        <v>20</v>
      </c>
      <c r="K286" s="288">
        <f t="shared" si="95"/>
        <v>234</v>
      </c>
      <c r="L286" s="289">
        <f t="shared" si="96"/>
        <v>7092</v>
      </c>
      <c r="M286" s="290">
        <f t="shared" si="91"/>
        <v>0</v>
      </c>
      <c r="N286" s="290" t="e">
        <f t="shared" si="92"/>
        <v>#NUM!</v>
      </c>
      <c r="O286" s="290">
        <f t="shared" si="84"/>
        <v>0</v>
      </c>
      <c r="P286" s="290">
        <f t="shared" si="85"/>
        <v>0</v>
      </c>
      <c r="Q286" s="291">
        <f t="shared" si="86"/>
        <v>0</v>
      </c>
      <c r="S286" s="287">
        <f t="shared" si="104"/>
        <v>20</v>
      </c>
      <c r="T286" s="288">
        <f t="shared" si="97"/>
        <v>234</v>
      </c>
      <c r="U286" s="289">
        <f t="shared" si="98"/>
        <v>7092</v>
      </c>
      <c r="V286" s="290">
        <f t="shared" si="99"/>
        <v>0</v>
      </c>
      <c r="W286" s="290" t="e">
        <f t="shared" si="100"/>
        <v>#NUM!</v>
      </c>
      <c r="X286" s="290">
        <f t="shared" si="87"/>
        <v>0</v>
      </c>
      <c r="Y286" s="290" t="e">
        <f t="shared" si="88"/>
        <v>#NUM!</v>
      </c>
      <c r="Z286" s="290">
        <f t="shared" si="101"/>
        <v>0</v>
      </c>
      <c r="AA286" s="291"/>
      <c r="AC286"/>
      <c r="AD286"/>
      <c r="AE286"/>
      <c r="AF286"/>
      <c r="AG286"/>
      <c r="AH286"/>
      <c r="AI286"/>
      <c r="AJ286"/>
    </row>
    <row r="287" spans="1:36" hidden="1">
      <c r="A287" s="292">
        <f t="shared" si="102"/>
        <v>20</v>
      </c>
      <c r="B287" s="293">
        <f t="shared" si="93"/>
        <v>235</v>
      </c>
      <c r="C287" s="294">
        <f t="shared" si="94"/>
        <v>53175</v>
      </c>
      <c r="D287" s="295">
        <f t="shared" si="89"/>
        <v>2833719.4976696349</v>
      </c>
      <c r="E287" s="295">
        <f t="shared" si="90"/>
        <v>-30010.234142609712</v>
      </c>
      <c r="F287" s="295">
        <f t="shared" si="81"/>
        <v>-16431.994882942719</v>
      </c>
      <c r="G287" s="295">
        <f t="shared" si="82"/>
        <v>-13578.239259666991</v>
      </c>
      <c r="H287" s="296">
        <f t="shared" si="83"/>
        <v>2817287.5027866922</v>
      </c>
      <c r="J287" s="292">
        <f t="shared" si="103"/>
        <v>20</v>
      </c>
      <c r="K287" s="293">
        <f t="shared" si="95"/>
        <v>235</v>
      </c>
      <c r="L287" s="294">
        <f t="shared" si="96"/>
        <v>7122</v>
      </c>
      <c r="M287" s="295">
        <f t="shared" si="91"/>
        <v>0</v>
      </c>
      <c r="N287" s="295" t="e">
        <f t="shared" si="92"/>
        <v>#NUM!</v>
      </c>
      <c r="O287" s="295">
        <f t="shared" si="84"/>
        <v>0</v>
      </c>
      <c r="P287" s="295">
        <f t="shared" si="85"/>
        <v>0</v>
      </c>
      <c r="Q287" s="296">
        <f t="shared" si="86"/>
        <v>0</v>
      </c>
      <c r="S287" s="292">
        <f t="shared" si="104"/>
        <v>20</v>
      </c>
      <c r="T287" s="293">
        <f t="shared" si="97"/>
        <v>235</v>
      </c>
      <c r="U287" s="294">
        <f t="shared" si="98"/>
        <v>7122</v>
      </c>
      <c r="V287" s="295">
        <f t="shared" si="99"/>
        <v>0</v>
      </c>
      <c r="W287" s="290" t="e">
        <f t="shared" si="100"/>
        <v>#NUM!</v>
      </c>
      <c r="X287" s="295">
        <f t="shared" si="87"/>
        <v>0</v>
      </c>
      <c r="Y287" s="295" t="e">
        <f t="shared" si="88"/>
        <v>#NUM!</v>
      </c>
      <c r="Z287" s="295">
        <f t="shared" si="101"/>
        <v>0</v>
      </c>
      <c r="AA287" s="296"/>
      <c r="AC287"/>
      <c r="AD287"/>
      <c r="AE287"/>
      <c r="AF287"/>
      <c r="AG287"/>
      <c r="AH287"/>
      <c r="AI287"/>
      <c r="AJ287"/>
    </row>
    <row r="288" spans="1:36" hidden="1">
      <c r="A288" s="287">
        <f t="shared" si="102"/>
        <v>20</v>
      </c>
      <c r="B288" s="288">
        <f t="shared" si="93"/>
        <v>236</v>
      </c>
      <c r="C288" s="289">
        <f t="shared" si="94"/>
        <v>53206</v>
      </c>
      <c r="D288" s="290">
        <f t="shared" si="89"/>
        <v>2817287.5027866922</v>
      </c>
      <c r="E288" s="290">
        <f t="shared" si="90"/>
        <v>-30010.234142609712</v>
      </c>
      <c r="F288" s="290">
        <f t="shared" si="81"/>
        <v>-16510.731525090156</v>
      </c>
      <c r="G288" s="290">
        <f t="shared" si="82"/>
        <v>-13499.50261751956</v>
      </c>
      <c r="H288" s="291">
        <f t="shared" si="83"/>
        <v>2800776.7712616022</v>
      </c>
      <c r="J288" s="287">
        <f t="shared" si="103"/>
        <v>20</v>
      </c>
      <c r="K288" s="288">
        <f t="shared" si="95"/>
        <v>236</v>
      </c>
      <c r="L288" s="289">
        <f t="shared" si="96"/>
        <v>7153</v>
      </c>
      <c r="M288" s="290">
        <f t="shared" si="91"/>
        <v>0</v>
      </c>
      <c r="N288" s="290" t="e">
        <f t="shared" si="92"/>
        <v>#NUM!</v>
      </c>
      <c r="O288" s="290">
        <f t="shared" si="84"/>
        <v>0</v>
      </c>
      <c r="P288" s="290">
        <f t="shared" si="85"/>
        <v>0</v>
      </c>
      <c r="Q288" s="291">
        <f t="shared" si="86"/>
        <v>0</v>
      </c>
      <c r="S288" s="287">
        <f t="shared" si="104"/>
        <v>20</v>
      </c>
      <c r="T288" s="288">
        <f t="shared" si="97"/>
        <v>236</v>
      </c>
      <c r="U288" s="289">
        <f t="shared" si="98"/>
        <v>7153</v>
      </c>
      <c r="V288" s="290">
        <f t="shared" si="99"/>
        <v>0</v>
      </c>
      <c r="W288" s="290" t="e">
        <f t="shared" si="100"/>
        <v>#NUM!</v>
      </c>
      <c r="X288" s="290">
        <f t="shared" si="87"/>
        <v>0</v>
      </c>
      <c r="Y288" s="290" t="e">
        <f t="shared" si="88"/>
        <v>#NUM!</v>
      </c>
      <c r="Z288" s="290">
        <f t="shared" si="101"/>
        <v>0</v>
      </c>
      <c r="AA288" s="291"/>
      <c r="AC288"/>
      <c r="AD288"/>
      <c r="AE288"/>
      <c r="AF288"/>
      <c r="AG288"/>
      <c r="AH288"/>
      <c r="AI288"/>
      <c r="AJ288"/>
    </row>
    <row r="289" spans="1:36" hidden="1">
      <c r="A289" s="292">
        <f t="shared" si="102"/>
        <v>20</v>
      </c>
      <c r="B289" s="293">
        <f t="shared" si="93"/>
        <v>237</v>
      </c>
      <c r="C289" s="294">
        <f t="shared" si="94"/>
        <v>53236</v>
      </c>
      <c r="D289" s="295">
        <f t="shared" si="89"/>
        <v>2800776.7712616022</v>
      </c>
      <c r="E289" s="295">
        <f t="shared" si="90"/>
        <v>-30010.234142609712</v>
      </c>
      <c r="F289" s="295">
        <f t="shared" si="81"/>
        <v>-16589.845446981213</v>
      </c>
      <c r="G289" s="295">
        <f t="shared" si="82"/>
        <v>-13420.388695628502</v>
      </c>
      <c r="H289" s="298">
        <f t="shared" si="83"/>
        <v>2784186.9258146212</v>
      </c>
      <c r="J289" s="292">
        <f t="shared" si="103"/>
        <v>20</v>
      </c>
      <c r="K289" s="293">
        <f t="shared" si="95"/>
        <v>237</v>
      </c>
      <c r="L289" s="294">
        <f t="shared" si="96"/>
        <v>7184</v>
      </c>
      <c r="M289" s="295">
        <f t="shared" si="91"/>
        <v>0</v>
      </c>
      <c r="N289" s="295" t="e">
        <f t="shared" si="92"/>
        <v>#NUM!</v>
      </c>
      <c r="O289" s="295">
        <f t="shared" si="84"/>
        <v>0</v>
      </c>
      <c r="P289" s="295">
        <f t="shared" si="85"/>
        <v>0</v>
      </c>
      <c r="Q289" s="298">
        <f t="shared" si="86"/>
        <v>0</v>
      </c>
      <c r="S289" s="292">
        <f t="shared" si="104"/>
        <v>20</v>
      </c>
      <c r="T289" s="293">
        <f t="shared" si="97"/>
        <v>237</v>
      </c>
      <c r="U289" s="294">
        <f t="shared" si="98"/>
        <v>7184</v>
      </c>
      <c r="V289" s="295">
        <f t="shared" si="99"/>
        <v>0</v>
      </c>
      <c r="W289" s="290" t="e">
        <f t="shared" si="100"/>
        <v>#NUM!</v>
      </c>
      <c r="X289" s="295">
        <f t="shared" si="87"/>
        <v>0</v>
      </c>
      <c r="Y289" s="295" t="e">
        <f t="shared" si="88"/>
        <v>#NUM!</v>
      </c>
      <c r="Z289" s="295">
        <f t="shared" si="101"/>
        <v>0</v>
      </c>
      <c r="AA289" s="298"/>
      <c r="AC289"/>
      <c r="AD289"/>
      <c r="AE289"/>
      <c r="AF289"/>
      <c r="AG289"/>
      <c r="AH289"/>
      <c r="AI289"/>
      <c r="AJ289"/>
    </row>
    <row r="290" spans="1:36" hidden="1">
      <c r="A290" s="287">
        <f t="shared" si="102"/>
        <v>20</v>
      </c>
      <c r="B290" s="288">
        <f t="shared" si="93"/>
        <v>238</v>
      </c>
      <c r="C290" s="289">
        <f t="shared" si="94"/>
        <v>53267</v>
      </c>
      <c r="D290" s="290">
        <f t="shared" si="89"/>
        <v>2784186.9258146212</v>
      </c>
      <c r="E290" s="290">
        <f t="shared" si="90"/>
        <v>-30010.234142609712</v>
      </c>
      <c r="F290" s="290">
        <f t="shared" si="81"/>
        <v>-16669.338456414662</v>
      </c>
      <c r="G290" s="290">
        <f t="shared" si="82"/>
        <v>-13340.895686195048</v>
      </c>
      <c r="H290" s="291">
        <f t="shared" si="83"/>
        <v>2767517.5873582065</v>
      </c>
      <c r="J290" s="287">
        <f t="shared" si="103"/>
        <v>20</v>
      </c>
      <c r="K290" s="288">
        <f t="shared" si="95"/>
        <v>238</v>
      </c>
      <c r="L290" s="289">
        <f t="shared" si="96"/>
        <v>7214</v>
      </c>
      <c r="M290" s="290">
        <f t="shared" si="91"/>
        <v>0</v>
      </c>
      <c r="N290" s="290" t="e">
        <f t="shared" si="92"/>
        <v>#NUM!</v>
      </c>
      <c r="O290" s="290">
        <f t="shared" si="84"/>
        <v>0</v>
      </c>
      <c r="P290" s="290">
        <f t="shared" si="85"/>
        <v>0</v>
      </c>
      <c r="Q290" s="291">
        <f t="shared" si="86"/>
        <v>0</v>
      </c>
      <c r="S290" s="287">
        <f t="shared" si="104"/>
        <v>20</v>
      </c>
      <c r="T290" s="288">
        <f t="shared" si="97"/>
        <v>238</v>
      </c>
      <c r="U290" s="289">
        <f t="shared" si="98"/>
        <v>7214</v>
      </c>
      <c r="V290" s="290">
        <f t="shared" si="99"/>
        <v>0</v>
      </c>
      <c r="W290" s="290" t="e">
        <f t="shared" si="100"/>
        <v>#NUM!</v>
      </c>
      <c r="X290" s="290">
        <f t="shared" si="87"/>
        <v>0</v>
      </c>
      <c r="Y290" s="290" t="e">
        <f t="shared" si="88"/>
        <v>#NUM!</v>
      </c>
      <c r="Z290" s="290">
        <f t="shared" si="101"/>
        <v>0</v>
      </c>
      <c r="AA290" s="291"/>
      <c r="AC290"/>
      <c r="AD290"/>
      <c r="AE290"/>
      <c r="AF290"/>
      <c r="AG290"/>
      <c r="AH290"/>
      <c r="AI290"/>
      <c r="AJ290"/>
    </row>
    <row r="291" spans="1:36" hidden="1">
      <c r="A291" s="292">
        <f t="shared" si="102"/>
        <v>20</v>
      </c>
      <c r="B291" s="293">
        <f t="shared" si="93"/>
        <v>239</v>
      </c>
      <c r="C291" s="294">
        <f t="shared" si="94"/>
        <v>53297</v>
      </c>
      <c r="D291" s="295">
        <f t="shared" si="89"/>
        <v>2767517.5873582065</v>
      </c>
      <c r="E291" s="295">
        <f t="shared" si="90"/>
        <v>-30010.234142609712</v>
      </c>
      <c r="F291" s="295">
        <f t="shared" si="81"/>
        <v>-16749.212369851652</v>
      </c>
      <c r="G291" s="295">
        <f t="shared" si="82"/>
        <v>-13261.021772758064</v>
      </c>
      <c r="H291" s="296">
        <f t="shared" si="83"/>
        <v>2750768.3749883547</v>
      </c>
      <c r="J291" s="292">
        <f t="shared" si="103"/>
        <v>20</v>
      </c>
      <c r="K291" s="293">
        <f t="shared" si="95"/>
        <v>239</v>
      </c>
      <c r="L291" s="294">
        <f t="shared" si="96"/>
        <v>7245</v>
      </c>
      <c r="M291" s="295">
        <f t="shared" si="91"/>
        <v>0</v>
      </c>
      <c r="N291" s="295" t="e">
        <f t="shared" si="92"/>
        <v>#NUM!</v>
      </c>
      <c r="O291" s="295">
        <f t="shared" si="84"/>
        <v>0</v>
      </c>
      <c r="P291" s="295">
        <f t="shared" si="85"/>
        <v>0</v>
      </c>
      <c r="Q291" s="296">
        <f t="shared" si="86"/>
        <v>0</v>
      </c>
      <c r="S291" s="292">
        <f t="shared" si="104"/>
        <v>20</v>
      </c>
      <c r="T291" s="293">
        <f t="shared" si="97"/>
        <v>239</v>
      </c>
      <c r="U291" s="294">
        <f t="shared" si="98"/>
        <v>7245</v>
      </c>
      <c r="V291" s="295">
        <f t="shared" si="99"/>
        <v>0</v>
      </c>
      <c r="W291" s="290" t="e">
        <f t="shared" si="100"/>
        <v>#NUM!</v>
      </c>
      <c r="X291" s="295">
        <f t="shared" si="87"/>
        <v>0</v>
      </c>
      <c r="Y291" s="295" t="e">
        <f t="shared" si="88"/>
        <v>#NUM!</v>
      </c>
      <c r="Z291" s="295">
        <f t="shared" si="101"/>
        <v>0</v>
      </c>
      <c r="AA291" s="296"/>
      <c r="AC291"/>
      <c r="AD291"/>
      <c r="AE291"/>
      <c r="AF291"/>
      <c r="AG291"/>
      <c r="AH291"/>
      <c r="AI291"/>
      <c r="AJ291"/>
    </row>
    <row r="292" spans="1:36" hidden="1">
      <c r="A292" s="287">
        <f t="shared" si="102"/>
        <v>20</v>
      </c>
      <c r="B292" s="288">
        <f t="shared" si="93"/>
        <v>240</v>
      </c>
      <c r="C292" s="289">
        <f t="shared" si="94"/>
        <v>53328</v>
      </c>
      <c r="D292" s="290">
        <f t="shared" si="89"/>
        <v>2750768.3749883547</v>
      </c>
      <c r="E292" s="290">
        <f t="shared" si="90"/>
        <v>-30010.234142609712</v>
      </c>
      <c r="F292" s="290">
        <f t="shared" si="81"/>
        <v>-16829.46901245719</v>
      </c>
      <c r="G292" s="290">
        <f t="shared" si="82"/>
        <v>-13180.765130152526</v>
      </c>
      <c r="H292" s="291">
        <f t="shared" si="83"/>
        <v>2733938.9059758973</v>
      </c>
      <c r="J292" s="287">
        <f t="shared" si="103"/>
        <v>20</v>
      </c>
      <c r="K292" s="288">
        <f t="shared" si="95"/>
        <v>240</v>
      </c>
      <c r="L292" s="289">
        <f t="shared" si="96"/>
        <v>7275</v>
      </c>
      <c r="M292" s="290">
        <f t="shared" si="91"/>
        <v>0</v>
      </c>
      <c r="N292" s="290" t="e">
        <f t="shared" si="92"/>
        <v>#NUM!</v>
      </c>
      <c r="O292" s="290">
        <f t="shared" si="84"/>
        <v>0</v>
      </c>
      <c r="P292" s="290">
        <f t="shared" si="85"/>
        <v>0</v>
      </c>
      <c r="Q292" s="291">
        <f t="shared" si="86"/>
        <v>0</v>
      </c>
      <c r="S292" s="287">
        <f t="shared" si="104"/>
        <v>20</v>
      </c>
      <c r="T292" s="288">
        <f t="shared" si="97"/>
        <v>240</v>
      </c>
      <c r="U292" s="289">
        <f t="shared" si="98"/>
        <v>7275</v>
      </c>
      <c r="V292" s="290">
        <f t="shared" si="99"/>
        <v>0</v>
      </c>
      <c r="W292" s="290" t="e">
        <f t="shared" si="100"/>
        <v>#NUM!</v>
      </c>
      <c r="X292" s="290">
        <f t="shared" si="87"/>
        <v>0</v>
      </c>
      <c r="Y292" s="290" t="e">
        <f t="shared" si="88"/>
        <v>#NUM!</v>
      </c>
      <c r="Z292" s="290">
        <f t="shared" si="101"/>
        <v>0</v>
      </c>
      <c r="AA292" s="291"/>
      <c r="AC292"/>
      <c r="AD292"/>
      <c r="AE292"/>
      <c r="AF292"/>
      <c r="AG292"/>
      <c r="AH292"/>
      <c r="AI292"/>
      <c r="AJ292"/>
    </row>
    <row r="293" spans="1:36" hidden="1">
      <c r="A293" s="292">
        <f t="shared" si="102"/>
        <v>21</v>
      </c>
      <c r="B293" s="293">
        <f t="shared" si="93"/>
        <v>241</v>
      </c>
      <c r="C293" s="294">
        <f t="shared" si="94"/>
        <v>53359</v>
      </c>
      <c r="D293" s="295">
        <f t="shared" si="89"/>
        <v>2733938.9059758973</v>
      </c>
      <c r="E293" s="295">
        <f t="shared" si="90"/>
        <v>-30010.234142609712</v>
      </c>
      <c r="F293" s="295">
        <f t="shared" si="81"/>
        <v>-16910.110218141883</v>
      </c>
      <c r="G293" s="295">
        <f t="shared" si="82"/>
        <v>-13100.123924467831</v>
      </c>
      <c r="H293" s="298">
        <f t="shared" si="83"/>
        <v>2717028.7957577556</v>
      </c>
      <c r="J293" s="292">
        <f t="shared" si="103"/>
        <v>21</v>
      </c>
      <c r="K293" s="293">
        <f t="shared" si="95"/>
        <v>241</v>
      </c>
      <c r="L293" s="294">
        <f t="shared" si="96"/>
        <v>7306</v>
      </c>
      <c r="M293" s="295">
        <f t="shared" si="91"/>
        <v>0</v>
      </c>
      <c r="N293" s="295" t="e">
        <f t="shared" si="92"/>
        <v>#NUM!</v>
      </c>
      <c r="O293" s="295">
        <f t="shared" si="84"/>
        <v>0</v>
      </c>
      <c r="P293" s="295">
        <f t="shared" si="85"/>
        <v>0</v>
      </c>
      <c r="Q293" s="298">
        <f t="shared" si="86"/>
        <v>0</v>
      </c>
      <c r="S293" s="292">
        <f t="shared" si="104"/>
        <v>21</v>
      </c>
      <c r="T293" s="293">
        <f t="shared" si="97"/>
        <v>241</v>
      </c>
      <c r="U293" s="294">
        <f t="shared" si="98"/>
        <v>7306</v>
      </c>
      <c r="V293" s="295">
        <f t="shared" si="99"/>
        <v>0</v>
      </c>
      <c r="W293" s="290" t="e">
        <f t="shared" si="100"/>
        <v>#NUM!</v>
      </c>
      <c r="X293" s="295">
        <f t="shared" si="87"/>
        <v>0</v>
      </c>
      <c r="Y293" s="295" t="e">
        <f t="shared" si="88"/>
        <v>#NUM!</v>
      </c>
      <c r="Z293" s="295">
        <f t="shared" si="101"/>
        <v>0</v>
      </c>
      <c r="AA293" s="298"/>
      <c r="AC293"/>
      <c r="AD293"/>
      <c r="AE293"/>
      <c r="AF293"/>
      <c r="AG293"/>
      <c r="AH293"/>
      <c r="AI293"/>
      <c r="AJ293"/>
    </row>
    <row r="294" spans="1:36" hidden="1">
      <c r="A294" s="287">
        <f t="shared" si="102"/>
        <v>21</v>
      </c>
      <c r="B294" s="288">
        <f t="shared" si="93"/>
        <v>242</v>
      </c>
      <c r="C294" s="289">
        <f t="shared" si="94"/>
        <v>53387</v>
      </c>
      <c r="D294" s="290">
        <f t="shared" si="89"/>
        <v>2717028.7957577556</v>
      </c>
      <c r="E294" s="290">
        <f t="shared" si="90"/>
        <v>-30010.234142609712</v>
      </c>
      <c r="F294" s="290">
        <f t="shared" si="81"/>
        <v>-16991.137829603809</v>
      </c>
      <c r="G294" s="290">
        <f t="shared" si="82"/>
        <v>-13019.096313005903</v>
      </c>
      <c r="H294" s="291">
        <f t="shared" si="83"/>
        <v>2700037.657928152</v>
      </c>
      <c r="J294" s="287">
        <f t="shared" si="103"/>
        <v>21</v>
      </c>
      <c r="K294" s="288">
        <f t="shared" si="95"/>
        <v>242</v>
      </c>
      <c r="L294" s="289">
        <f t="shared" si="96"/>
        <v>7337</v>
      </c>
      <c r="M294" s="290">
        <f t="shared" si="91"/>
        <v>0</v>
      </c>
      <c r="N294" s="290" t="e">
        <f t="shared" si="92"/>
        <v>#NUM!</v>
      </c>
      <c r="O294" s="290">
        <f t="shared" si="84"/>
        <v>0</v>
      </c>
      <c r="P294" s="290">
        <f t="shared" si="85"/>
        <v>0</v>
      </c>
      <c r="Q294" s="291">
        <f t="shared" si="86"/>
        <v>0</v>
      </c>
      <c r="S294" s="287">
        <f t="shared" si="104"/>
        <v>21</v>
      </c>
      <c r="T294" s="288">
        <f t="shared" si="97"/>
        <v>242</v>
      </c>
      <c r="U294" s="289">
        <f t="shared" si="98"/>
        <v>7337</v>
      </c>
      <c r="V294" s="290">
        <f t="shared" si="99"/>
        <v>0</v>
      </c>
      <c r="W294" s="290" t="e">
        <f t="shared" si="100"/>
        <v>#NUM!</v>
      </c>
      <c r="X294" s="290">
        <f t="shared" si="87"/>
        <v>0</v>
      </c>
      <c r="Y294" s="290" t="e">
        <f t="shared" si="88"/>
        <v>#NUM!</v>
      </c>
      <c r="Z294" s="290">
        <f t="shared" si="101"/>
        <v>0</v>
      </c>
      <c r="AA294" s="291"/>
      <c r="AC294"/>
      <c r="AD294"/>
      <c r="AE294"/>
      <c r="AF294"/>
      <c r="AG294"/>
      <c r="AH294"/>
      <c r="AI294"/>
      <c r="AJ294"/>
    </row>
    <row r="295" spans="1:36" hidden="1">
      <c r="A295" s="292">
        <f t="shared" si="102"/>
        <v>21</v>
      </c>
      <c r="B295" s="293">
        <f t="shared" si="93"/>
        <v>243</v>
      </c>
      <c r="C295" s="294">
        <f t="shared" si="94"/>
        <v>53418</v>
      </c>
      <c r="D295" s="295">
        <f t="shared" si="89"/>
        <v>2700037.657928152</v>
      </c>
      <c r="E295" s="295">
        <f t="shared" si="90"/>
        <v>-30010.234142609712</v>
      </c>
      <c r="F295" s="295">
        <f t="shared" si="81"/>
        <v>-17072.553698370662</v>
      </c>
      <c r="G295" s="295">
        <f t="shared" si="82"/>
        <v>-12937.680444239049</v>
      </c>
      <c r="H295" s="296">
        <f t="shared" si="83"/>
        <v>2682965.1042297813</v>
      </c>
      <c r="J295" s="292">
        <f t="shared" si="103"/>
        <v>21</v>
      </c>
      <c r="K295" s="293">
        <f t="shared" si="95"/>
        <v>243</v>
      </c>
      <c r="L295" s="294">
        <f t="shared" si="96"/>
        <v>7366</v>
      </c>
      <c r="M295" s="295">
        <f t="shared" si="91"/>
        <v>0</v>
      </c>
      <c r="N295" s="295" t="e">
        <f t="shared" si="92"/>
        <v>#NUM!</v>
      </c>
      <c r="O295" s="295">
        <f t="shared" si="84"/>
        <v>0</v>
      </c>
      <c r="P295" s="295">
        <f t="shared" si="85"/>
        <v>0</v>
      </c>
      <c r="Q295" s="296">
        <f t="shared" si="86"/>
        <v>0</v>
      </c>
      <c r="S295" s="292">
        <f t="shared" si="104"/>
        <v>21</v>
      </c>
      <c r="T295" s="293">
        <f t="shared" si="97"/>
        <v>243</v>
      </c>
      <c r="U295" s="294">
        <f t="shared" si="98"/>
        <v>7366</v>
      </c>
      <c r="V295" s="295">
        <f t="shared" si="99"/>
        <v>0</v>
      </c>
      <c r="W295" s="290" t="e">
        <f t="shared" si="100"/>
        <v>#NUM!</v>
      </c>
      <c r="X295" s="295">
        <f t="shared" si="87"/>
        <v>0</v>
      </c>
      <c r="Y295" s="295" t="e">
        <f t="shared" si="88"/>
        <v>#NUM!</v>
      </c>
      <c r="Z295" s="295">
        <f t="shared" si="101"/>
        <v>0</v>
      </c>
      <c r="AA295" s="296"/>
      <c r="AC295"/>
      <c r="AD295"/>
      <c r="AE295"/>
      <c r="AF295"/>
      <c r="AG295"/>
      <c r="AH295"/>
      <c r="AI295"/>
      <c r="AJ295"/>
    </row>
    <row r="296" spans="1:36" hidden="1">
      <c r="A296" s="287">
        <f t="shared" si="102"/>
        <v>21</v>
      </c>
      <c r="B296" s="288">
        <f t="shared" si="93"/>
        <v>244</v>
      </c>
      <c r="C296" s="289">
        <f t="shared" si="94"/>
        <v>53448</v>
      </c>
      <c r="D296" s="290">
        <f t="shared" si="89"/>
        <v>2682965.1042297813</v>
      </c>
      <c r="E296" s="290">
        <f t="shared" si="90"/>
        <v>-30010.234142609712</v>
      </c>
      <c r="F296" s="290">
        <f t="shared" si="81"/>
        <v>-17154.35968484202</v>
      </c>
      <c r="G296" s="290">
        <f t="shared" si="82"/>
        <v>-12855.874457767692</v>
      </c>
      <c r="H296" s="291">
        <f t="shared" si="83"/>
        <v>2665810.7445449391</v>
      </c>
      <c r="J296" s="287">
        <f t="shared" si="103"/>
        <v>21</v>
      </c>
      <c r="K296" s="288">
        <f t="shared" si="95"/>
        <v>244</v>
      </c>
      <c r="L296" s="289">
        <f t="shared" si="96"/>
        <v>7397</v>
      </c>
      <c r="M296" s="290">
        <f t="shared" si="91"/>
        <v>0</v>
      </c>
      <c r="N296" s="290" t="e">
        <f t="shared" si="92"/>
        <v>#NUM!</v>
      </c>
      <c r="O296" s="290">
        <f t="shared" si="84"/>
        <v>0</v>
      </c>
      <c r="P296" s="290">
        <f t="shared" si="85"/>
        <v>0</v>
      </c>
      <c r="Q296" s="291">
        <f t="shared" si="86"/>
        <v>0</v>
      </c>
      <c r="S296" s="287">
        <f t="shared" si="104"/>
        <v>21</v>
      </c>
      <c r="T296" s="288">
        <f t="shared" si="97"/>
        <v>244</v>
      </c>
      <c r="U296" s="289">
        <f t="shared" si="98"/>
        <v>7397</v>
      </c>
      <c r="V296" s="290">
        <f t="shared" si="99"/>
        <v>0</v>
      </c>
      <c r="W296" s="290" t="e">
        <f t="shared" si="100"/>
        <v>#NUM!</v>
      </c>
      <c r="X296" s="290">
        <f t="shared" si="87"/>
        <v>0</v>
      </c>
      <c r="Y296" s="290" t="e">
        <f t="shared" si="88"/>
        <v>#NUM!</v>
      </c>
      <c r="Z296" s="290">
        <f t="shared" si="101"/>
        <v>0</v>
      </c>
      <c r="AA296" s="291"/>
      <c r="AC296"/>
      <c r="AD296"/>
      <c r="AE296"/>
      <c r="AF296"/>
      <c r="AG296"/>
      <c r="AH296"/>
      <c r="AI296"/>
      <c r="AJ296"/>
    </row>
    <row r="297" spans="1:36" hidden="1">
      <c r="A297" s="292">
        <f t="shared" si="102"/>
        <v>21</v>
      </c>
      <c r="B297" s="293">
        <f t="shared" si="93"/>
        <v>245</v>
      </c>
      <c r="C297" s="294">
        <f t="shared" si="94"/>
        <v>53479</v>
      </c>
      <c r="D297" s="295">
        <f t="shared" si="89"/>
        <v>2665810.7445449391</v>
      </c>
      <c r="E297" s="295">
        <f t="shared" si="90"/>
        <v>-30010.234142609712</v>
      </c>
      <c r="F297" s="295">
        <f t="shared" si="81"/>
        <v>-17236.557658331887</v>
      </c>
      <c r="G297" s="295">
        <f t="shared" si="82"/>
        <v>-12773.676484277827</v>
      </c>
      <c r="H297" s="298">
        <f t="shared" si="83"/>
        <v>2648574.1868866072</v>
      </c>
      <c r="J297" s="292">
        <f t="shared" si="103"/>
        <v>21</v>
      </c>
      <c r="K297" s="293">
        <f t="shared" si="95"/>
        <v>245</v>
      </c>
      <c r="L297" s="294">
        <f t="shared" si="96"/>
        <v>7427</v>
      </c>
      <c r="M297" s="295">
        <f t="shared" si="91"/>
        <v>0</v>
      </c>
      <c r="N297" s="295" t="e">
        <f t="shared" si="92"/>
        <v>#NUM!</v>
      </c>
      <c r="O297" s="295">
        <f t="shared" si="84"/>
        <v>0</v>
      </c>
      <c r="P297" s="295">
        <f t="shared" si="85"/>
        <v>0</v>
      </c>
      <c r="Q297" s="298">
        <f t="shared" si="86"/>
        <v>0</v>
      </c>
      <c r="S297" s="292">
        <f t="shared" si="104"/>
        <v>21</v>
      </c>
      <c r="T297" s="293">
        <f t="shared" si="97"/>
        <v>245</v>
      </c>
      <c r="U297" s="294">
        <f t="shared" si="98"/>
        <v>7427</v>
      </c>
      <c r="V297" s="295">
        <f t="shared" si="99"/>
        <v>0</v>
      </c>
      <c r="W297" s="290" t="e">
        <f t="shared" si="100"/>
        <v>#NUM!</v>
      </c>
      <c r="X297" s="295">
        <f t="shared" si="87"/>
        <v>0</v>
      </c>
      <c r="Y297" s="295" t="e">
        <f t="shared" si="88"/>
        <v>#NUM!</v>
      </c>
      <c r="Z297" s="295">
        <f t="shared" si="101"/>
        <v>0</v>
      </c>
      <c r="AA297" s="298"/>
      <c r="AC297"/>
      <c r="AD297"/>
      <c r="AE297"/>
      <c r="AF297"/>
      <c r="AG297"/>
      <c r="AH297"/>
      <c r="AI297"/>
      <c r="AJ297"/>
    </row>
    <row r="298" spans="1:36" hidden="1">
      <c r="A298" s="287">
        <f t="shared" si="102"/>
        <v>21</v>
      </c>
      <c r="B298" s="288">
        <f t="shared" si="93"/>
        <v>246</v>
      </c>
      <c r="C298" s="289">
        <f t="shared" si="94"/>
        <v>53509</v>
      </c>
      <c r="D298" s="290">
        <f t="shared" si="89"/>
        <v>2648574.1868866072</v>
      </c>
      <c r="E298" s="290">
        <f t="shared" si="90"/>
        <v>-30010.234142609712</v>
      </c>
      <c r="F298" s="290">
        <f t="shared" si="81"/>
        <v>-17319.149497111397</v>
      </c>
      <c r="G298" s="290">
        <f t="shared" si="82"/>
        <v>-12691.084645498317</v>
      </c>
      <c r="H298" s="291">
        <f t="shared" si="83"/>
        <v>2631255.0373894959</v>
      </c>
      <c r="J298" s="287">
        <f t="shared" si="103"/>
        <v>21</v>
      </c>
      <c r="K298" s="288">
        <f t="shared" si="95"/>
        <v>246</v>
      </c>
      <c r="L298" s="289">
        <f t="shared" si="96"/>
        <v>7458</v>
      </c>
      <c r="M298" s="290">
        <f t="shared" si="91"/>
        <v>0</v>
      </c>
      <c r="N298" s="290" t="e">
        <f t="shared" si="92"/>
        <v>#NUM!</v>
      </c>
      <c r="O298" s="290">
        <f t="shared" si="84"/>
        <v>0</v>
      </c>
      <c r="P298" s="290">
        <f t="shared" si="85"/>
        <v>0</v>
      </c>
      <c r="Q298" s="291">
        <f t="shared" si="86"/>
        <v>0</v>
      </c>
      <c r="S298" s="287">
        <f t="shared" si="104"/>
        <v>21</v>
      </c>
      <c r="T298" s="288">
        <f t="shared" si="97"/>
        <v>246</v>
      </c>
      <c r="U298" s="289">
        <f t="shared" si="98"/>
        <v>7458</v>
      </c>
      <c r="V298" s="290">
        <f t="shared" si="99"/>
        <v>0</v>
      </c>
      <c r="W298" s="290" t="e">
        <f t="shared" si="100"/>
        <v>#NUM!</v>
      </c>
      <c r="X298" s="290">
        <f t="shared" si="87"/>
        <v>0</v>
      </c>
      <c r="Y298" s="290" t="e">
        <f t="shared" si="88"/>
        <v>#NUM!</v>
      </c>
      <c r="Z298" s="290">
        <f t="shared" si="101"/>
        <v>0</v>
      </c>
      <c r="AA298" s="291"/>
      <c r="AC298"/>
      <c r="AD298"/>
      <c r="AE298"/>
      <c r="AF298"/>
      <c r="AG298"/>
      <c r="AH298"/>
      <c r="AI298"/>
      <c r="AJ298"/>
    </row>
    <row r="299" spans="1:36" hidden="1">
      <c r="A299" s="292">
        <f t="shared" si="102"/>
        <v>21</v>
      </c>
      <c r="B299" s="293">
        <f t="shared" si="93"/>
        <v>247</v>
      </c>
      <c r="C299" s="294">
        <f t="shared" si="94"/>
        <v>53540</v>
      </c>
      <c r="D299" s="295">
        <f t="shared" si="89"/>
        <v>2631255.0373894959</v>
      </c>
      <c r="E299" s="295">
        <f t="shared" si="90"/>
        <v>-30010.234142609712</v>
      </c>
      <c r="F299" s="295">
        <f t="shared" si="81"/>
        <v>-17402.13708845172</v>
      </c>
      <c r="G299" s="295">
        <f t="shared" si="82"/>
        <v>-12608.097054157992</v>
      </c>
      <c r="H299" s="296">
        <f t="shared" si="83"/>
        <v>2613852.9003010443</v>
      </c>
      <c r="J299" s="292">
        <f t="shared" si="103"/>
        <v>21</v>
      </c>
      <c r="K299" s="293">
        <f t="shared" si="95"/>
        <v>247</v>
      </c>
      <c r="L299" s="294">
        <f t="shared" si="96"/>
        <v>7488</v>
      </c>
      <c r="M299" s="295">
        <f t="shared" si="91"/>
        <v>0</v>
      </c>
      <c r="N299" s="295" t="e">
        <f t="shared" si="92"/>
        <v>#NUM!</v>
      </c>
      <c r="O299" s="295">
        <f t="shared" si="84"/>
        <v>0</v>
      </c>
      <c r="P299" s="295">
        <f t="shared" si="85"/>
        <v>0</v>
      </c>
      <c r="Q299" s="296">
        <f t="shared" si="86"/>
        <v>0</v>
      </c>
      <c r="S299" s="292">
        <f t="shared" si="104"/>
        <v>21</v>
      </c>
      <c r="T299" s="293">
        <f t="shared" si="97"/>
        <v>247</v>
      </c>
      <c r="U299" s="294">
        <f t="shared" si="98"/>
        <v>7488</v>
      </c>
      <c r="V299" s="295">
        <f t="shared" si="99"/>
        <v>0</v>
      </c>
      <c r="W299" s="290" t="e">
        <f t="shared" si="100"/>
        <v>#NUM!</v>
      </c>
      <c r="X299" s="295">
        <f t="shared" si="87"/>
        <v>0</v>
      </c>
      <c r="Y299" s="295" t="e">
        <f t="shared" si="88"/>
        <v>#NUM!</v>
      </c>
      <c r="Z299" s="295">
        <f t="shared" si="101"/>
        <v>0</v>
      </c>
      <c r="AA299" s="296"/>
      <c r="AC299"/>
      <c r="AD299"/>
      <c r="AE299"/>
      <c r="AF299"/>
      <c r="AG299"/>
      <c r="AH299"/>
      <c r="AI299"/>
      <c r="AJ299"/>
    </row>
    <row r="300" spans="1:36" hidden="1">
      <c r="A300" s="287">
        <f t="shared" si="102"/>
        <v>21</v>
      </c>
      <c r="B300" s="288">
        <f t="shared" si="93"/>
        <v>248</v>
      </c>
      <c r="C300" s="289">
        <f t="shared" si="94"/>
        <v>53571</v>
      </c>
      <c r="D300" s="290">
        <f t="shared" si="89"/>
        <v>2613852.9003010443</v>
      </c>
      <c r="E300" s="290">
        <f t="shared" si="90"/>
        <v>-30010.234142609712</v>
      </c>
      <c r="F300" s="290">
        <f t="shared" si="81"/>
        <v>-17485.522328667219</v>
      </c>
      <c r="G300" s="290">
        <f t="shared" si="82"/>
        <v>-12524.711813942495</v>
      </c>
      <c r="H300" s="291">
        <f t="shared" si="83"/>
        <v>2596367.377972377</v>
      </c>
      <c r="J300" s="287">
        <f t="shared" si="103"/>
        <v>21</v>
      </c>
      <c r="K300" s="288">
        <f t="shared" si="95"/>
        <v>248</v>
      </c>
      <c r="L300" s="289">
        <f t="shared" si="96"/>
        <v>7519</v>
      </c>
      <c r="M300" s="290">
        <f t="shared" si="91"/>
        <v>0</v>
      </c>
      <c r="N300" s="290" t="e">
        <f t="shared" si="92"/>
        <v>#NUM!</v>
      </c>
      <c r="O300" s="290">
        <f t="shared" si="84"/>
        <v>0</v>
      </c>
      <c r="P300" s="290">
        <f t="shared" si="85"/>
        <v>0</v>
      </c>
      <c r="Q300" s="291">
        <f t="shared" si="86"/>
        <v>0</v>
      </c>
      <c r="S300" s="287">
        <f t="shared" si="104"/>
        <v>21</v>
      </c>
      <c r="T300" s="288">
        <f t="shared" si="97"/>
        <v>248</v>
      </c>
      <c r="U300" s="289">
        <f t="shared" si="98"/>
        <v>7519</v>
      </c>
      <c r="V300" s="290">
        <f t="shared" si="99"/>
        <v>0</v>
      </c>
      <c r="W300" s="290" t="e">
        <f t="shared" si="100"/>
        <v>#NUM!</v>
      </c>
      <c r="X300" s="290">
        <f t="shared" si="87"/>
        <v>0</v>
      </c>
      <c r="Y300" s="290" t="e">
        <f t="shared" si="88"/>
        <v>#NUM!</v>
      </c>
      <c r="Z300" s="290">
        <f t="shared" si="101"/>
        <v>0</v>
      </c>
      <c r="AA300" s="291"/>
      <c r="AC300"/>
      <c r="AD300"/>
      <c r="AE300"/>
      <c r="AF300"/>
      <c r="AG300"/>
      <c r="AH300"/>
      <c r="AI300"/>
      <c r="AJ300"/>
    </row>
    <row r="301" spans="1:36" hidden="1">
      <c r="A301" s="292">
        <f t="shared" si="102"/>
        <v>21</v>
      </c>
      <c r="B301" s="293">
        <f t="shared" si="93"/>
        <v>249</v>
      </c>
      <c r="C301" s="294">
        <f t="shared" si="94"/>
        <v>53601</v>
      </c>
      <c r="D301" s="295">
        <f t="shared" si="89"/>
        <v>2596367.377972377</v>
      </c>
      <c r="E301" s="295">
        <f t="shared" si="90"/>
        <v>-30010.234142609712</v>
      </c>
      <c r="F301" s="295">
        <f t="shared" si="81"/>
        <v>-17569.307123158753</v>
      </c>
      <c r="G301" s="295">
        <f t="shared" si="82"/>
        <v>-12440.927019450966</v>
      </c>
      <c r="H301" s="298">
        <f t="shared" si="83"/>
        <v>2578798.0708492184</v>
      </c>
      <c r="J301" s="292">
        <f t="shared" si="103"/>
        <v>21</v>
      </c>
      <c r="K301" s="293">
        <f t="shared" si="95"/>
        <v>249</v>
      </c>
      <c r="L301" s="294">
        <f t="shared" si="96"/>
        <v>7550</v>
      </c>
      <c r="M301" s="295">
        <f t="shared" si="91"/>
        <v>0</v>
      </c>
      <c r="N301" s="295" t="e">
        <f t="shared" si="92"/>
        <v>#NUM!</v>
      </c>
      <c r="O301" s="295">
        <f t="shared" si="84"/>
        <v>0</v>
      </c>
      <c r="P301" s="295">
        <f t="shared" si="85"/>
        <v>0</v>
      </c>
      <c r="Q301" s="298">
        <f t="shared" si="86"/>
        <v>0</v>
      </c>
      <c r="S301" s="292">
        <f t="shared" si="104"/>
        <v>21</v>
      </c>
      <c r="T301" s="293">
        <f t="shared" si="97"/>
        <v>249</v>
      </c>
      <c r="U301" s="294">
        <f t="shared" si="98"/>
        <v>7550</v>
      </c>
      <c r="V301" s="295">
        <f t="shared" si="99"/>
        <v>0</v>
      </c>
      <c r="W301" s="290" t="e">
        <f t="shared" si="100"/>
        <v>#NUM!</v>
      </c>
      <c r="X301" s="295">
        <f t="shared" si="87"/>
        <v>0</v>
      </c>
      <c r="Y301" s="295" t="e">
        <f t="shared" si="88"/>
        <v>#NUM!</v>
      </c>
      <c r="Z301" s="295">
        <f t="shared" si="101"/>
        <v>0</v>
      </c>
      <c r="AA301" s="298"/>
      <c r="AC301"/>
      <c r="AD301"/>
      <c r="AE301"/>
      <c r="AF301"/>
      <c r="AG301"/>
      <c r="AH301"/>
      <c r="AI301"/>
      <c r="AJ301"/>
    </row>
    <row r="302" spans="1:36" hidden="1">
      <c r="A302" s="287">
        <f t="shared" si="102"/>
        <v>21</v>
      </c>
      <c r="B302" s="288">
        <f t="shared" si="93"/>
        <v>250</v>
      </c>
      <c r="C302" s="289">
        <f t="shared" si="94"/>
        <v>53632</v>
      </c>
      <c r="D302" s="290">
        <f t="shared" si="89"/>
        <v>2578798.0708492184</v>
      </c>
      <c r="E302" s="290">
        <f t="shared" si="90"/>
        <v>-30010.234142609712</v>
      </c>
      <c r="F302" s="290">
        <f t="shared" si="81"/>
        <v>-17653.493386457219</v>
      </c>
      <c r="G302" s="290">
        <f t="shared" si="82"/>
        <v>-12356.740756152494</v>
      </c>
      <c r="H302" s="291">
        <f t="shared" si="83"/>
        <v>2561144.5774627612</v>
      </c>
      <c r="J302" s="287">
        <f t="shared" si="103"/>
        <v>21</v>
      </c>
      <c r="K302" s="288">
        <f t="shared" si="95"/>
        <v>250</v>
      </c>
      <c r="L302" s="289">
        <f t="shared" si="96"/>
        <v>7580</v>
      </c>
      <c r="M302" s="290">
        <f t="shared" si="91"/>
        <v>0</v>
      </c>
      <c r="N302" s="290" t="e">
        <f t="shared" si="92"/>
        <v>#NUM!</v>
      </c>
      <c r="O302" s="290">
        <f t="shared" si="84"/>
        <v>0</v>
      </c>
      <c r="P302" s="290">
        <f t="shared" si="85"/>
        <v>0</v>
      </c>
      <c r="Q302" s="291">
        <f t="shared" si="86"/>
        <v>0</v>
      </c>
      <c r="S302" s="287">
        <f t="shared" si="104"/>
        <v>21</v>
      </c>
      <c r="T302" s="288">
        <f t="shared" si="97"/>
        <v>250</v>
      </c>
      <c r="U302" s="289">
        <f t="shared" si="98"/>
        <v>7580</v>
      </c>
      <c r="V302" s="290">
        <f t="shared" si="99"/>
        <v>0</v>
      </c>
      <c r="W302" s="290" t="e">
        <f t="shared" si="100"/>
        <v>#NUM!</v>
      </c>
      <c r="X302" s="290">
        <f t="shared" si="87"/>
        <v>0</v>
      </c>
      <c r="Y302" s="290" t="e">
        <f t="shared" si="88"/>
        <v>#NUM!</v>
      </c>
      <c r="Z302" s="290">
        <f t="shared" si="101"/>
        <v>0</v>
      </c>
      <c r="AA302" s="291"/>
      <c r="AC302"/>
      <c r="AD302"/>
      <c r="AE302"/>
      <c r="AF302"/>
      <c r="AG302"/>
      <c r="AH302"/>
      <c r="AI302"/>
      <c r="AJ302"/>
    </row>
    <row r="303" spans="1:36" hidden="1">
      <c r="A303" s="292">
        <f t="shared" si="102"/>
        <v>21</v>
      </c>
      <c r="B303" s="293">
        <f t="shared" si="93"/>
        <v>251</v>
      </c>
      <c r="C303" s="294">
        <f t="shared" si="94"/>
        <v>53662</v>
      </c>
      <c r="D303" s="295">
        <f t="shared" si="89"/>
        <v>2561144.5774627612</v>
      </c>
      <c r="E303" s="295">
        <f t="shared" si="90"/>
        <v>-30010.234142609712</v>
      </c>
      <c r="F303" s="295">
        <f t="shared" si="81"/>
        <v>-17738.083042267324</v>
      </c>
      <c r="G303" s="295">
        <f t="shared" si="82"/>
        <v>-12272.151100342388</v>
      </c>
      <c r="H303" s="296">
        <f t="shared" si="83"/>
        <v>2543406.494420494</v>
      </c>
      <c r="J303" s="292">
        <f t="shared" si="103"/>
        <v>21</v>
      </c>
      <c r="K303" s="293">
        <f t="shared" si="95"/>
        <v>251</v>
      </c>
      <c r="L303" s="294">
        <f t="shared" si="96"/>
        <v>7611</v>
      </c>
      <c r="M303" s="295">
        <f t="shared" si="91"/>
        <v>0</v>
      </c>
      <c r="N303" s="295" t="e">
        <f t="shared" si="92"/>
        <v>#NUM!</v>
      </c>
      <c r="O303" s="295">
        <f t="shared" si="84"/>
        <v>0</v>
      </c>
      <c r="P303" s="295">
        <f t="shared" si="85"/>
        <v>0</v>
      </c>
      <c r="Q303" s="296">
        <f t="shared" si="86"/>
        <v>0</v>
      </c>
      <c r="S303" s="292">
        <f t="shared" si="104"/>
        <v>21</v>
      </c>
      <c r="T303" s="293">
        <f t="shared" si="97"/>
        <v>251</v>
      </c>
      <c r="U303" s="294">
        <f t="shared" si="98"/>
        <v>7611</v>
      </c>
      <c r="V303" s="295">
        <f t="shared" si="99"/>
        <v>0</v>
      </c>
      <c r="W303" s="290" t="e">
        <f t="shared" si="100"/>
        <v>#NUM!</v>
      </c>
      <c r="X303" s="295">
        <f t="shared" si="87"/>
        <v>0</v>
      </c>
      <c r="Y303" s="295" t="e">
        <f t="shared" si="88"/>
        <v>#NUM!</v>
      </c>
      <c r="Z303" s="295">
        <f t="shared" si="101"/>
        <v>0</v>
      </c>
      <c r="AA303" s="296"/>
      <c r="AC303"/>
      <c r="AD303"/>
      <c r="AE303"/>
      <c r="AF303"/>
      <c r="AG303"/>
      <c r="AH303"/>
      <c r="AI303"/>
      <c r="AJ303"/>
    </row>
    <row r="304" spans="1:36" hidden="1">
      <c r="A304" s="287">
        <f t="shared" si="102"/>
        <v>21</v>
      </c>
      <c r="B304" s="288">
        <f t="shared" si="93"/>
        <v>252</v>
      </c>
      <c r="C304" s="289">
        <f t="shared" si="94"/>
        <v>53693</v>
      </c>
      <c r="D304" s="290">
        <f t="shared" si="89"/>
        <v>2543406.494420494</v>
      </c>
      <c r="E304" s="290">
        <f t="shared" si="90"/>
        <v>-30010.234142609712</v>
      </c>
      <c r="F304" s="290">
        <f t="shared" si="81"/>
        <v>-17823.078023511523</v>
      </c>
      <c r="G304" s="290">
        <f t="shared" si="82"/>
        <v>-12187.156119098188</v>
      </c>
      <c r="H304" s="291">
        <f t="shared" si="83"/>
        <v>2525583.4163969825</v>
      </c>
      <c r="J304" s="287">
        <f t="shared" si="103"/>
        <v>21</v>
      </c>
      <c r="K304" s="288">
        <f t="shared" si="95"/>
        <v>252</v>
      </c>
      <c r="L304" s="289">
        <f t="shared" si="96"/>
        <v>7641</v>
      </c>
      <c r="M304" s="290">
        <f t="shared" si="91"/>
        <v>0</v>
      </c>
      <c r="N304" s="290" t="e">
        <f t="shared" si="92"/>
        <v>#NUM!</v>
      </c>
      <c r="O304" s="290">
        <f t="shared" si="84"/>
        <v>0</v>
      </c>
      <c r="P304" s="290">
        <f t="shared" si="85"/>
        <v>0</v>
      </c>
      <c r="Q304" s="291">
        <f t="shared" si="86"/>
        <v>0</v>
      </c>
      <c r="S304" s="287">
        <f t="shared" si="104"/>
        <v>21</v>
      </c>
      <c r="T304" s="288">
        <f t="shared" si="97"/>
        <v>252</v>
      </c>
      <c r="U304" s="289">
        <f t="shared" si="98"/>
        <v>7641</v>
      </c>
      <c r="V304" s="290">
        <f t="shared" si="99"/>
        <v>0</v>
      </c>
      <c r="W304" s="290" t="e">
        <f t="shared" si="100"/>
        <v>#NUM!</v>
      </c>
      <c r="X304" s="290">
        <f t="shared" si="87"/>
        <v>0</v>
      </c>
      <c r="Y304" s="290" t="e">
        <f t="shared" si="88"/>
        <v>#NUM!</v>
      </c>
      <c r="Z304" s="290">
        <f t="shared" si="101"/>
        <v>0</v>
      </c>
      <c r="AA304" s="291"/>
      <c r="AC304"/>
      <c r="AD304"/>
      <c r="AE304"/>
      <c r="AF304"/>
      <c r="AG304"/>
      <c r="AH304"/>
      <c r="AI304"/>
      <c r="AJ304"/>
    </row>
    <row r="305" spans="1:36" hidden="1">
      <c r="A305" s="292">
        <f t="shared" si="102"/>
        <v>22</v>
      </c>
      <c r="B305" s="293">
        <f t="shared" si="93"/>
        <v>253</v>
      </c>
      <c r="C305" s="294">
        <f t="shared" si="94"/>
        <v>53724</v>
      </c>
      <c r="D305" s="295">
        <f t="shared" si="89"/>
        <v>2525583.4163969825</v>
      </c>
      <c r="E305" s="295">
        <f t="shared" si="90"/>
        <v>-30010.234142609712</v>
      </c>
      <c r="F305" s="295">
        <f t="shared" si="81"/>
        <v>-17908.480272374185</v>
      </c>
      <c r="G305" s="295">
        <f t="shared" si="82"/>
        <v>-12101.753870235529</v>
      </c>
      <c r="H305" s="298">
        <f t="shared" si="83"/>
        <v>2507674.9361246084</v>
      </c>
      <c r="J305" s="292">
        <f t="shared" si="103"/>
        <v>22</v>
      </c>
      <c r="K305" s="293">
        <f t="shared" si="95"/>
        <v>253</v>
      </c>
      <c r="L305" s="294">
        <f t="shared" si="96"/>
        <v>7672</v>
      </c>
      <c r="M305" s="295">
        <f t="shared" si="91"/>
        <v>0</v>
      </c>
      <c r="N305" s="295" t="e">
        <f t="shared" si="92"/>
        <v>#NUM!</v>
      </c>
      <c r="O305" s="295">
        <f t="shared" si="84"/>
        <v>0</v>
      </c>
      <c r="P305" s="295">
        <f t="shared" si="85"/>
        <v>0</v>
      </c>
      <c r="Q305" s="298">
        <f t="shared" si="86"/>
        <v>0</v>
      </c>
      <c r="S305" s="292">
        <f t="shared" si="104"/>
        <v>22</v>
      </c>
      <c r="T305" s="293">
        <f t="shared" si="97"/>
        <v>253</v>
      </c>
      <c r="U305" s="294">
        <f t="shared" si="98"/>
        <v>7672</v>
      </c>
      <c r="V305" s="295">
        <f t="shared" si="99"/>
        <v>0</v>
      </c>
      <c r="W305" s="290" t="e">
        <f t="shared" si="100"/>
        <v>#NUM!</v>
      </c>
      <c r="X305" s="295">
        <f t="shared" si="87"/>
        <v>0</v>
      </c>
      <c r="Y305" s="295" t="e">
        <f t="shared" si="88"/>
        <v>#NUM!</v>
      </c>
      <c r="Z305" s="295">
        <f t="shared" si="101"/>
        <v>0</v>
      </c>
      <c r="AA305" s="298"/>
      <c r="AC305"/>
      <c r="AD305"/>
      <c r="AE305"/>
      <c r="AF305"/>
      <c r="AG305"/>
      <c r="AH305"/>
      <c r="AI305"/>
      <c r="AJ305"/>
    </row>
    <row r="306" spans="1:36" hidden="1">
      <c r="A306" s="287">
        <f t="shared" si="102"/>
        <v>22</v>
      </c>
      <c r="B306" s="288">
        <f t="shared" si="93"/>
        <v>254</v>
      </c>
      <c r="C306" s="289">
        <f t="shared" si="94"/>
        <v>53752</v>
      </c>
      <c r="D306" s="290">
        <f t="shared" si="89"/>
        <v>2507674.9361246084</v>
      </c>
      <c r="E306" s="290">
        <f t="shared" si="90"/>
        <v>-30010.234142609712</v>
      </c>
      <c r="F306" s="290">
        <f t="shared" si="81"/>
        <v>-17994.291740345976</v>
      </c>
      <c r="G306" s="290">
        <f t="shared" si="82"/>
        <v>-12015.942402263736</v>
      </c>
      <c r="H306" s="291">
        <f t="shared" si="83"/>
        <v>2489680.6443842626</v>
      </c>
      <c r="J306" s="287">
        <f t="shared" si="103"/>
        <v>22</v>
      </c>
      <c r="K306" s="288">
        <f t="shared" si="95"/>
        <v>254</v>
      </c>
      <c r="L306" s="289">
        <f t="shared" si="96"/>
        <v>7703</v>
      </c>
      <c r="M306" s="290">
        <f t="shared" si="91"/>
        <v>0</v>
      </c>
      <c r="N306" s="290" t="e">
        <f t="shared" si="92"/>
        <v>#NUM!</v>
      </c>
      <c r="O306" s="290">
        <f t="shared" si="84"/>
        <v>0</v>
      </c>
      <c r="P306" s="290">
        <f t="shared" si="85"/>
        <v>0</v>
      </c>
      <c r="Q306" s="291">
        <f t="shared" si="86"/>
        <v>0</v>
      </c>
      <c r="S306" s="287">
        <f t="shared" si="104"/>
        <v>22</v>
      </c>
      <c r="T306" s="288">
        <f t="shared" si="97"/>
        <v>254</v>
      </c>
      <c r="U306" s="289">
        <f t="shared" si="98"/>
        <v>7703</v>
      </c>
      <c r="V306" s="290">
        <f t="shared" si="99"/>
        <v>0</v>
      </c>
      <c r="W306" s="290" t="e">
        <f t="shared" si="100"/>
        <v>#NUM!</v>
      </c>
      <c r="X306" s="290">
        <f t="shared" si="87"/>
        <v>0</v>
      </c>
      <c r="Y306" s="290" t="e">
        <f t="shared" si="88"/>
        <v>#NUM!</v>
      </c>
      <c r="Z306" s="290">
        <f t="shared" si="101"/>
        <v>0</v>
      </c>
      <c r="AA306" s="291"/>
      <c r="AC306"/>
      <c r="AD306"/>
      <c r="AE306"/>
      <c r="AF306"/>
      <c r="AG306"/>
      <c r="AH306"/>
      <c r="AI306"/>
      <c r="AJ306"/>
    </row>
    <row r="307" spans="1:36" hidden="1">
      <c r="A307" s="292">
        <f t="shared" si="102"/>
        <v>22</v>
      </c>
      <c r="B307" s="293">
        <f t="shared" si="93"/>
        <v>255</v>
      </c>
      <c r="C307" s="294">
        <f t="shared" si="94"/>
        <v>53783</v>
      </c>
      <c r="D307" s="295">
        <f t="shared" si="89"/>
        <v>2489680.6443842626</v>
      </c>
      <c r="E307" s="295">
        <f t="shared" si="90"/>
        <v>-30010.234142609712</v>
      </c>
      <c r="F307" s="295">
        <f t="shared" si="81"/>
        <v>-18080.514388268468</v>
      </c>
      <c r="G307" s="295">
        <f t="shared" si="82"/>
        <v>-11929.719754341246</v>
      </c>
      <c r="H307" s="296">
        <f t="shared" si="83"/>
        <v>2471600.1299959943</v>
      </c>
      <c r="J307" s="292">
        <f t="shared" si="103"/>
        <v>22</v>
      </c>
      <c r="K307" s="293">
        <f t="shared" si="95"/>
        <v>255</v>
      </c>
      <c r="L307" s="294">
        <f t="shared" si="96"/>
        <v>7731</v>
      </c>
      <c r="M307" s="295">
        <f t="shared" si="91"/>
        <v>0</v>
      </c>
      <c r="N307" s="295" t="e">
        <f t="shared" si="92"/>
        <v>#NUM!</v>
      </c>
      <c r="O307" s="295">
        <f t="shared" si="84"/>
        <v>0</v>
      </c>
      <c r="P307" s="295">
        <f t="shared" si="85"/>
        <v>0</v>
      </c>
      <c r="Q307" s="296">
        <f t="shared" si="86"/>
        <v>0</v>
      </c>
      <c r="S307" s="292">
        <f t="shared" si="104"/>
        <v>22</v>
      </c>
      <c r="T307" s="293">
        <f t="shared" si="97"/>
        <v>255</v>
      </c>
      <c r="U307" s="294">
        <f t="shared" si="98"/>
        <v>7731</v>
      </c>
      <c r="V307" s="295">
        <f t="shared" si="99"/>
        <v>0</v>
      </c>
      <c r="W307" s="290" t="e">
        <f t="shared" si="100"/>
        <v>#NUM!</v>
      </c>
      <c r="X307" s="295">
        <f t="shared" si="87"/>
        <v>0</v>
      </c>
      <c r="Y307" s="295" t="e">
        <f t="shared" si="88"/>
        <v>#NUM!</v>
      </c>
      <c r="Z307" s="295">
        <f t="shared" si="101"/>
        <v>0</v>
      </c>
      <c r="AA307" s="296"/>
      <c r="AC307"/>
      <c r="AD307"/>
      <c r="AE307"/>
      <c r="AF307"/>
      <c r="AG307"/>
      <c r="AH307"/>
      <c r="AI307"/>
      <c r="AJ307"/>
    </row>
    <row r="308" spans="1:36" hidden="1">
      <c r="A308" s="287">
        <f t="shared" si="102"/>
        <v>22</v>
      </c>
      <c r="B308" s="288">
        <f t="shared" si="93"/>
        <v>256</v>
      </c>
      <c r="C308" s="289">
        <f t="shared" si="94"/>
        <v>53813</v>
      </c>
      <c r="D308" s="290">
        <f t="shared" si="89"/>
        <v>2471600.1299959943</v>
      </c>
      <c r="E308" s="290">
        <f t="shared" si="90"/>
        <v>-30010.234142609712</v>
      </c>
      <c r="F308" s="290">
        <f t="shared" si="81"/>
        <v>-18167.15018637892</v>
      </c>
      <c r="G308" s="290">
        <f t="shared" si="82"/>
        <v>-11843.083956230792</v>
      </c>
      <c r="H308" s="291">
        <f t="shared" si="83"/>
        <v>2453432.9798096153</v>
      </c>
      <c r="J308" s="287">
        <f t="shared" si="103"/>
        <v>22</v>
      </c>
      <c r="K308" s="288">
        <f t="shared" si="95"/>
        <v>256</v>
      </c>
      <c r="L308" s="289">
        <f t="shared" si="96"/>
        <v>7762</v>
      </c>
      <c r="M308" s="290">
        <f t="shared" si="91"/>
        <v>0</v>
      </c>
      <c r="N308" s="290" t="e">
        <f t="shared" si="92"/>
        <v>#NUM!</v>
      </c>
      <c r="O308" s="290">
        <f t="shared" si="84"/>
        <v>0</v>
      </c>
      <c r="P308" s="290">
        <f t="shared" si="85"/>
        <v>0</v>
      </c>
      <c r="Q308" s="291">
        <f t="shared" si="86"/>
        <v>0</v>
      </c>
      <c r="S308" s="287">
        <f t="shared" si="104"/>
        <v>22</v>
      </c>
      <c r="T308" s="288">
        <f t="shared" si="97"/>
        <v>256</v>
      </c>
      <c r="U308" s="289">
        <f t="shared" si="98"/>
        <v>7762</v>
      </c>
      <c r="V308" s="290">
        <f t="shared" si="99"/>
        <v>0</v>
      </c>
      <c r="W308" s="290" t="e">
        <f t="shared" si="100"/>
        <v>#NUM!</v>
      </c>
      <c r="X308" s="290">
        <f t="shared" si="87"/>
        <v>0</v>
      </c>
      <c r="Y308" s="290" t="e">
        <f t="shared" si="88"/>
        <v>#NUM!</v>
      </c>
      <c r="Z308" s="290">
        <f t="shared" si="101"/>
        <v>0</v>
      </c>
      <c r="AA308" s="291"/>
      <c r="AC308"/>
      <c r="AD308"/>
      <c r="AE308"/>
      <c r="AF308"/>
      <c r="AG308"/>
      <c r="AH308"/>
      <c r="AI308"/>
      <c r="AJ308"/>
    </row>
    <row r="309" spans="1:36" hidden="1">
      <c r="A309" s="292">
        <f t="shared" si="102"/>
        <v>22</v>
      </c>
      <c r="B309" s="293">
        <f t="shared" si="93"/>
        <v>257</v>
      </c>
      <c r="C309" s="294">
        <f t="shared" si="94"/>
        <v>53844</v>
      </c>
      <c r="D309" s="295">
        <f t="shared" si="89"/>
        <v>2453432.9798096153</v>
      </c>
      <c r="E309" s="295">
        <f t="shared" si="90"/>
        <v>-30010.234142609712</v>
      </c>
      <c r="F309" s="295">
        <f t="shared" ref="F309:F372" si="105">IF(AND(SwitchRefi="Yes",OR(C309=0,C309&gt;=$I$10)),0,IFERROR(PPMT(IF(SwitchCompound="Monthly",$E$13/12,($E$13/2+1)^(2/12)-1),B309,$E$17*12,$D$53),0))</f>
        <v>-18254.201114355321</v>
      </c>
      <c r="G309" s="295">
        <f t="shared" ref="G309:G372" si="106">IF(AND(SwitchRefi="Yes",OR(C309=0,C309&gt;=$I$10)),0,IFERROR(IPMT(IF(SwitchCompound="Monthly",$E$13/12,($E$13/2+1)^(2/12)-1),IF(B309=0,1,B309),$E$17*12,$D$53),0))</f>
        <v>-11756.033028254393</v>
      </c>
      <c r="H309" s="298">
        <f t="shared" ref="H309:H372" si="107">IF(AND(SwitchRefi="Yes",C309&gt;=$I$10),0,D309+F309)</f>
        <v>2435178.7786952602</v>
      </c>
      <c r="J309" s="292">
        <f t="shared" si="103"/>
        <v>22</v>
      </c>
      <c r="K309" s="293">
        <f t="shared" si="95"/>
        <v>257</v>
      </c>
      <c r="L309" s="294">
        <f t="shared" si="96"/>
        <v>7792</v>
      </c>
      <c r="M309" s="295">
        <f t="shared" si="91"/>
        <v>0</v>
      </c>
      <c r="N309" s="295" t="e">
        <f t="shared" si="92"/>
        <v>#NUM!</v>
      </c>
      <c r="O309" s="295">
        <f t="shared" ref="O309:O372" si="108">IF(AND(SwitchRefi="Yes",OR(L309=0,L309&gt;=$I$10)),0,IFERROR(PPMT(IF(SwitchCompound="Monthly",$G$13/12,($G$13/2+1)^(2/12)-1),K309,$G$17*12,$M$53),0))</f>
        <v>0</v>
      </c>
      <c r="P309" s="295">
        <f t="shared" ref="P309:P372" si="109">IF(AND(SwitchRefi="Yes",OR(L309=0,L309&gt;=$I$10)),0,IFERROR(IPMT(IF(SwitchCompound="Monthly",$G$13/12,($G$13/2+1)^(2/12)-1),IF(K309=0,1,K309),$G$17*12,$M$53),0))</f>
        <v>0</v>
      </c>
      <c r="Q309" s="298">
        <f t="shared" ref="Q309:Q372" si="110">IF(AND(SwitchRefi="Yes",L309&gt;=$I$10),0,M309+O309)</f>
        <v>0</v>
      </c>
      <c r="S309" s="292">
        <f t="shared" si="104"/>
        <v>22</v>
      </c>
      <c r="T309" s="293">
        <f t="shared" si="97"/>
        <v>257</v>
      </c>
      <c r="U309" s="294">
        <f t="shared" si="98"/>
        <v>7792</v>
      </c>
      <c r="V309" s="295">
        <f t="shared" si="99"/>
        <v>0</v>
      </c>
      <c r="W309" s="290" t="e">
        <f t="shared" si="100"/>
        <v>#NUM!</v>
      </c>
      <c r="X309" s="295">
        <f t="shared" ref="X309:X372" si="111">IFERROR(PPMT(IF(SwitchCompound="Monthly",$I$13/12,($I$13/2+1)^(2/12)-1),T309,$I$17*12,$V$53),0)</f>
        <v>0</v>
      </c>
      <c r="Y309" s="295" t="e">
        <f t="shared" ref="Y309:Y372" si="112">IPMT(IF(SwitchCompound="Monthly",$I$13/12,($I$13/2+1)^(2/12)-1),IF(T309=0,1,T309),$I$17*12,$V$53)</f>
        <v>#NUM!</v>
      </c>
      <c r="Z309" s="295">
        <f t="shared" si="101"/>
        <v>0</v>
      </c>
      <c r="AA309" s="298"/>
      <c r="AC309"/>
      <c r="AD309"/>
      <c r="AE309"/>
      <c r="AF309"/>
      <c r="AG309"/>
      <c r="AH309"/>
      <c r="AI309"/>
      <c r="AJ309"/>
    </row>
    <row r="310" spans="1:36" hidden="1">
      <c r="A310" s="287">
        <f t="shared" si="102"/>
        <v>22</v>
      </c>
      <c r="B310" s="288">
        <f t="shared" si="93"/>
        <v>258</v>
      </c>
      <c r="C310" s="289">
        <f t="shared" si="94"/>
        <v>53874</v>
      </c>
      <c r="D310" s="290">
        <f t="shared" ref="D310:D373" si="113">IF(AND(SwitchRefi="Yes",C310&gt;=$I$10),0,H309)</f>
        <v>2435178.7786952602</v>
      </c>
      <c r="E310" s="290">
        <f t="shared" ref="E310:E373" si="114">IF(AND(SwitchRefi="Yes",OR(C310=0,C310&gt;=$I$10)),0,$E$53)</f>
        <v>-30010.234142609712</v>
      </c>
      <c r="F310" s="290">
        <f t="shared" si="105"/>
        <v>-18341.669161361609</v>
      </c>
      <c r="G310" s="290">
        <f t="shared" si="106"/>
        <v>-11668.564981248108</v>
      </c>
      <c r="H310" s="291">
        <f t="shared" si="107"/>
        <v>2416837.1095338985</v>
      </c>
      <c r="J310" s="287">
        <f t="shared" si="103"/>
        <v>22</v>
      </c>
      <c r="K310" s="288">
        <f t="shared" si="95"/>
        <v>258</v>
      </c>
      <c r="L310" s="289">
        <f t="shared" si="96"/>
        <v>7823</v>
      </c>
      <c r="M310" s="290">
        <f t="shared" ref="M310:M373" si="115">IF(AND(SwitchRefi="Yes",L310&gt;=$I$10),0,Q309)</f>
        <v>0</v>
      </c>
      <c r="N310" s="290" t="e">
        <f t="shared" ref="N310:N373" si="116">IF(AND(SwitchRefi="Yes",OR(L310=0,L310&gt;=$I$10)),0,$N$53)</f>
        <v>#NUM!</v>
      </c>
      <c r="O310" s="290">
        <f t="shared" si="108"/>
        <v>0</v>
      </c>
      <c r="P310" s="290">
        <f t="shared" si="109"/>
        <v>0</v>
      </c>
      <c r="Q310" s="291">
        <f t="shared" si="110"/>
        <v>0</v>
      </c>
      <c r="S310" s="287">
        <f t="shared" si="104"/>
        <v>22</v>
      </c>
      <c r="T310" s="288">
        <f t="shared" si="97"/>
        <v>258</v>
      </c>
      <c r="U310" s="289">
        <f t="shared" si="98"/>
        <v>7823</v>
      </c>
      <c r="V310" s="290">
        <f t="shared" si="99"/>
        <v>0</v>
      </c>
      <c r="W310" s="290" t="e">
        <f t="shared" si="100"/>
        <v>#NUM!</v>
      </c>
      <c r="X310" s="290">
        <f t="shared" si="111"/>
        <v>0</v>
      </c>
      <c r="Y310" s="290" t="e">
        <f t="shared" si="112"/>
        <v>#NUM!</v>
      </c>
      <c r="Z310" s="290">
        <f t="shared" si="101"/>
        <v>0</v>
      </c>
      <c r="AA310" s="291"/>
      <c r="AC310"/>
      <c r="AD310"/>
      <c r="AE310"/>
      <c r="AF310"/>
      <c r="AG310"/>
      <c r="AH310"/>
      <c r="AI310"/>
      <c r="AJ310"/>
    </row>
    <row r="311" spans="1:36" hidden="1">
      <c r="A311" s="292">
        <f t="shared" si="102"/>
        <v>22</v>
      </c>
      <c r="B311" s="293">
        <f t="shared" ref="B311:B374" si="117">IF(B310=0,IF(C311&lt;$C$413,0,B310+1),IF(C310&gt;=$C$413,B310+1,0))</f>
        <v>259</v>
      </c>
      <c r="C311" s="294">
        <f t="shared" ref="C311:C352" si="118">EDATE(C310,1)</f>
        <v>53905</v>
      </c>
      <c r="D311" s="295">
        <f t="shared" si="113"/>
        <v>2416837.1095338985</v>
      </c>
      <c r="E311" s="295">
        <f t="shared" si="114"/>
        <v>-30010.234142609712</v>
      </c>
      <c r="F311" s="295">
        <f t="shared" si="105"/>
        <v>-18429.55632609313</v>
      </c>
      <c r="G311" s="295">
        <f t="shared" si="106"/>
        <v>-11580.677816516583</v>
      </c>
      <c r="H311" s="296">
        <f t="shared" si="107"/>
        <v>2398407.5532078054</v>
      </c>
      <c r="J311" s="292">
        <f t="shared" si="103"/>
        <v>22</v>
      </c>
      <c r="K311" s="293">
        <f t="shared" ref="K311:K374" si="119">IF(K310=0,IF(L311&lt;$L$413,0,K310+1),IF(L310&gt;=$L$413,K310+1,0))</f>
        <v>259</v>
      </c>
      <c r="L311" s="294">
        <f t="shared" ref="L311:L352" si="120">EDATE(L310,1)</f>
        <v>7853</v>
      </c>
      <c r="M311" s="295">
        <f t="shared" si="115"/>
        <v>0</v>
      </c>
      <c r="N311" s="295" t="e">
        <f t="shared" si="116"/>
        <v>#NUM!</v>
      </c>
      <c r="O311" s="295">
        <f t="shared" si="108"/>
        <v>0</v>
      </c>
      <c r="P311" s="295">
        <f t="shared" si="109"/>
        <v>0</v>
      </c>
      <c r="Q311" s="296">
        <f t="shared" si="110"/>
        <v>0</v>
      </c>
      <c r="S311" s="292">
        <f t="shared" si="104"/>
        <v>22</v>
      </c>
      <c r="T311" s="293">
        <f t="shared" ref="T311:T374" si="121">IF(T310=0,IF(U311&lt;$V$413,0,T310+1),IF(U310&gt;=$V$413,T310+1,0))</f>
        <v>259</v>
      </c>
      <c r="U311" s="294">
        <f t="shared" ref="U311:U352" si="122">EDATE(U310,1)</f>
        <v>7853</v>
      </c>
      <c r="V311" s="295">
        <f t="shared" ref="V311:V352" si="123">Z310</f>
        <v>0</v>
      </c>
      <c r="W311" s="290" t="e">
        <f t="shared" ref="W311:W374" si="124">$W$53</f>
        <v>#NUM!</v>
      </c>
      <c r="X311" s="295">
        <f t="shared" si="111"/>
        <v>0</v>
      </c>
      <c r="Y311" s="295" t="e">
        <f t="shared" si="112"/>
        <v>#NUM!</v>
      </c>
      <c r="Z311" s="295">
        <f t="shared" si="101"/>
        <v>0</v>
      </c>
      <c r="AA311" s="296"/>
      <c r="AC311"/>
      <c r="AD311"/>
      <c r="AE311"/>
      <c r="AF311"/>
      <c r="AG311"/>
      <c r="AH311"/>
      <c r="AI311"/>
      <c r="AJ311"/>
    </row>
    <row r="312" spans="1:36" hidden="1">
      <c r="A312" s="287">
        <f t="shared" si="102"/>
        <v>22</v>
      </c>
      <c r="B312" s="288">
        <f t="shared" si="117"/>
        <v>260</v>
      </c>
      <c r="C312" s="289">
        <f t="shared" si="118"/>
        <v>53936</v>
      </c>
      <c r="D312" s="290">
        <f t="shared" si="113"/>
        <v>2398407.5532078054</v>
      </c>
      <c r="E312" s="290">
        <f t="shared" si="114"/>
        <v>-30010.234142609712</v>
      </c>
      <c r="F312" s="290">
        <f t="shared" si="105"/>
        <v>-18517.864616822328</v>
      </c>
      <c r="G312" s="290">
        <f t="shared" si="106"/>
        <v>-11492.369525787386</v>
      </c>
      <c r="H312" s="291">
        <f t="shared" si="107"/>
        <v>2379889.6885909829</v>
      </c>
      <c r="J312" s="287">
        <f t="shared" si="103"/>
        <v>22</v>
      </c>
      <c r="K312" s="288">
        <f t="shared" si="119"/>
        <v>260</v>
      </c>
      <c r="L312" s="289">
        <f t="shared" si="120"/>
        <v>7884</v>
      </c>
      <c r="M312" s="290">
        <f t="shared" si="115"/>
        <v>0</v>
      </c>
      <c r="N312" s="290" t="e">
        <f t="shared" si="116"/>
        <v>#NUM!</v>
      </c>
      <c r="O312" s="290">
        <f t="shared" si="108"/>
        <v>0</v>
      </c>
      <c r="P312" s="290">
        <f t="shared" si="109"/>
        <v>0</v>
      </c>
      <c r="Q312" s="291">
        <f t="shared" si="110"/>
        <v>0</v>
      </c>
      <c r="S312" s="287">
        <f t="shared" si="104"/>
        <v>22</v>
      </c>
      <c r="T312" s="288">
        <f t="shared" si="121"/>
        <v>260</v>
      </c>
      <c r="U312" s="289">
        <f t="shared" si="122"/>
        <v>7884</v>
      </c>
      <c r="V312" s="290">
        <f t="shared" si="123"/>
        <v>0</v>
      </c>
      <c r="W312" s="290" t="e">
        <f t="shared" si="124"/>
        <v>#NUM!</v>
      </c>
      <c r="X312" s="290">
        <f t="shared" si="111"/>
        <v>0</v>
      </c>
      <c r="Y312" s="290" t="e">
        <f t="shared" si="112"/>
        <v>#NUM!</v>
      </c>
      <c r="Z312" s="290">
        <f t="shared" si="101"/>
        <v>0</v>
      </c>
      <c r="AA312" s="291"/>
      <c r="AC312"/>
      <c r="AD312"/>
      <c r="AE312"/>
      <c r="AF312"/>
      <c r="AG312"/>
      <c r="AH312"/>
      <c r="AI312"/>
      <c r="AJ312"/>
    </row>
    <row r="313" spans="1:36" hidden="1">
      <c r="A313" s="292">
        <f t="shared" si="102"/>
        <v>22</v>
      </c>
      <c r="B313" s="293">
        <f t="shared" si="117"/>
        <v>261</v>
      </c>
      <c r="C313" s="294">
        <f t="shared" si="118"/>
        <v>53966</v>
      </c>
      <c r="D313" s="295">
        <f t="shared" si="113"/>
        <v>2379889.6885909829</v>
      </c>
      <c r="E313" s="295">
        <f t="shared" si="114"/>
        <v>-30010.234142609712</v>
      </c>
      <c r="F313" s="295">
        <f t="shared" si="105"/>
        <v>-18606.596051444598</v>
      </c>
      <c r="G313" s="295">
        <f t="shared" si="106"/>
        <v>-11403.638091165114</v>
      </c>
      <c r="H313" s="298">
        <f t="shared" si="107"/>
        <v>2361283.0925395382</v>
      </c>
      <c r="J313" s="292">
        <f t="shared" si="103"/>
        <v>22</v>
      </c>
      <c r="K313" s="293">
        <f t="shared" si="119"/>
        <v>261</v>
      </c>
      <c r="L313" s="294">
        <f t="shared" si="120"/>
        <v>7915</v>
      </c>
      <c r="M313" s="295">
        <f t="shared" si="115"/>
        <v>0</v>
      </c>
      <c r="N313" s="295" t="e">
        <f t="shared" si="116"/>
        <v>#NUM!</v>
      </c>
      <c r="O313" s="295">
        <f t="shared" si="108"/>
        <v>0</v>
      </c>
      <c r="P313" s="295">
        <f t="shared" si="109"/>
        <v>0</v>
      </c>
      <c r="Q313" s="298">
        <f t="shared" si="110"/>
        <v>0</v>
      </c>
      <c r="S313" s="292">
        <f t="shared" si="104"/>
        <v>22</v>
      </c>
      <c r="T313" s="293">
        <f t="shared" si="121"/>
        <v>261</v>
      </c>
      <c r="U313" s="294">
        <f t="shared" si="122"/>
        <v>7915</v>
      </c>
      <c r="V313" s="295">
        <f t="shared" si="123"/>
        <v>0</v>
      </c>
      <c r="W313" s="290" t="e">
        <f t="shared" si="124"/>
        <v>#NUM!</v>
      </c>
      <c r="X313" s="295">
        <f t="shared" si="111"/>
        <v>0</v>
      </c>
      <c r="Y313" s="295" t="e">
        <f t="shared" si="112"/>
        <v>#NUM!</v>
      </c>
      <c r="Z313" s="295">
        <f t="shared" si="101"/>
        <v>0</v>
      </c>
      <c r="AA313" s="298"/>
      <c r="AC313"/>
      <c r="AD313"/>
      <c r="AE313"/>
      <c r="AF313"/>
      <c r="AG313"/>
      <c r="AH313"/>
      <c r="AI313"/>
      <c r="AJ313"/>
    </row>
    <row r="314" spans="1:36" hidden="1">
      <c r="A314" s="287">
        <f t="shared" si="102"/>
        <v>22</v>
      </c>
      <c r="B314" s="288">
        <f t="shared" si="117"/>
        <v>262</v>
      </c>
      <c r="C314" s="289">
        <f t="shared" si="118"/>
        <v>53997</v>
      </c>
      <c r="D314" s="290">
        <f t="shared" si="113"/>
        <v>2361283.0925395382</v>
      </c>
      <c r="E314" s="290">
        <f t="shared" si="114"/>
        <v>-30010.234142609712</v>
      </c>
      <c r="F314" s="290">
        <f t="shared" si="105"/>
        <v>-18695.752657524437</v>
      </c>
      <c r="G314" s="290">
        <f t="shared" si="106"/>
        <v>-11314.481485085274</v>
      </c>
      <c r="H314" s="291">
        <f t="shared" si="107"/>
        <v>2342587.3398820139</v>
      </c>
      <c r="J314" s="287">
        <f t="shared" si="103"/>
        <v>22</v>
      </c>
      <c r="K314" s="288">
        <f t="shared" si="119"/>
        <v>262</v>
      </c>
      <c r="L314" s="289">
        <f t="shared" si="120"/>
        <v>7945</v>
      </c>
      <c r="M314" s="290">
        <f t="shared" si="115"/>
        <v>0</v>
      </c>
      <c r="N314" s="290" t="e">
        <f t="shared" si="116"/>
        <v>#NUM!</v>
      </c>
      <c r="O314" s="290">
        <f t="shared" si="108"/>
        <v>0</v>
      </c>
      <c r="P314" s="290">
        <f t="shared" si="109"/>
        <v>0</v>
      </c>
      <c r="Q314" s="291">
        <f t="shared" si="110"/>
        <v>0</v>
      </c>
      <c r="S314" s="287">
        <f t="shared" si="104"/>
        <v>22</v>
      </c>
      <c r="T314" s="288">
        <f t="shared" si="121"/>
        <v>262</v>
      </c>
      <c r="U314" s="289">
        <f t="shared" si="122"/>
        <v>7945</v>
      </c>
      <c r="V314" s="290">
        <f t="shared" si="123"/>
        <v>0</v>
      </c>
      <c r="W314" s="290" t="e">
        <f t="shared" si="124"/>
        <v>#NUM!</v>
      </c>
      <c r="X314" s="290">
        <f t="shared" si="111"/>
        <v>0</v>
      </c>
      <c r="Y314" s="290" t="e">
        <f t="shared" si="112"/>
        <v>#NUM!</v>
      </c>
      <c r="Z314" s="290">
        <f t="shared" si="101"/>
        <v>0</v>
      </c>
      <c r="AA314" s="291"/>
      <c r="AC314"/>
      <c r="AD314"/>
      <c r="AE314"/>
      <c r="AF314"/>
      <c r="AG314"/>
      <c r="AH314"/>
      <c r="AI314"/>
      <c r="AJ314"/>
    </row>
    <row r="315" spans="1:36" hidden="1">
      <c r="A315" s="292">
        <f t="shared" si="102"/>
        <v>22</v>
      </c>
      <c r="B315" s="293">
        <f t="shared" si="117"/>
        <v>263</v>
      </c>
      <c r="C315" s="294">
        <f t="shared" si="118"/>
        <v>54027</v>
      </c>
      <c r="D315" s="295">
        <f t="shared" si="113"/>
        <v>2342587.3398820139</v>
      </c>
      <c r="E315" s="295">
        <f t="shared" si="114"/>
        <v>-30010.234142609712</v>
      </c>
      <c r="F315" s="295">
        <f t="shared" si="105"/>
        <v>-18785.336472341744</v>
      </c>
      <c r="G315" s="295">
        <f t="shared" si="106"/>
        <v>-11224.897670267968</v>
      </c>
      <c r="H315" s="296">
        <f t="shared" si="107"/>
        <v>2323802.0034096721</v>
      </c>
      <c r="J315" s="292">
        <f t="shared" si="103"/>
        <v>22</v>
      </c>
      <c r="K315" s="293">
        <f t="shared" si="119"/>
        <v>263</v>
      </c>
      <c r="L315" s="294">
        <f t="shared" si="120"/>
        <v>7976</v>
      </c>
      <c r="M315" s="295">
        <f t="shared" si="115"/>
        <v>0</v>
      </c>
      <c r="N315" s="295" t="e">
        <f t="shared" si="116"/>
        <v>#NUM!</v>
      </c>
      <c r="O315" s="295">
        <f t="shared" si="108"/>
        <v>0</v>
      </c>
      <c r="P315" s="295">
        <f t="shared" si="109"/>
        <v>0</v>
      </c>
      <c r="Q315" s="296">
        <f t="shared" si="110"/>
        <v>0</v>
      </c>
      <c r="S315" s="292">
        <f t="shared" si="104"/>
        <v>22</v>
      </c>
      <c r="T315" s="293">
        <f t="shared" si="121"/>
        <v>263</v>
      </c>
      <c r="U315" s="294">
        <f t="shared" si="122"/>
        <v>7976</v>
      </c>
      <c r="V315" s="295">
        <f t="shared" si="123"/>
        <v>0</v>
      </c>
      <c r="W315" s="290" t="e">
        <f t="shared" si="124"/>
        <v>#NUM!</v>
      </c>
      <c r="X315" s="295">
        <f t="shared" si="111"/>
        <v>0</v>
      </c>
      <c r="Y315" s="295" t="e">
        <f t="shared" si="112"/>
        <v>#NUM!</v>
      </c>
      <c r="Z315" s="295">
        <f t="shared" ref="Z315:Z378" si="125">V315+X315</f>
        <v>0</v>
      </c>
      <c r="AA315" s="296"/>
      <c r="AC315"/>
      <c r="AD315"/>
      <c r="AE315"/>
      <c r="AF315"/>
      <c r="AG315"/>
      <c r="AH315"/>
      <c r="AI315"/>
      <c r="AJ315"/>
    </row>
    <row r="316" spans="1:36" hidden="1">
      <c r="A316" s="287">
        <f t="shared" si="102"/>
        <v>22</v>
      </c>
      <c r="B316" s="288">
        <f t="shared" si="117"/>
        <v>264</v>
      </c>
      <c r="C316" s="289">
        <f t="shared" si="118"/>
        <v>54058</v>
      </c>
      <c r="D316" s="290">
        <f t="shared" si="113"/>
        <v>2323802.0034096721</v>
      </c>
      <c r="E316" s="290">
        <f t="shared" si="114"/>
        <v>-30010.234142609712</v>
      </c>
      <c r="F316" s="290">
        <f t="shared" si="105"/>
        <v>-18875.349542938384</v>
      </c>
      <c r="G316" s="290">
        <f t="shared" si="106"/>
        <v>-11134.884599671333</v>
      </c>
      <c r="H316" s="291">
        <f t="shared" si="107"/>
        <v>2304926.6538667339</v>
      </c>
      <c r="J316" s="287">
        <f t="shared" si="103"/>
        <v>22</v>
      </c>
      <c r="K316" s="288">
        <f t="shared" si="119"/>
        <v>264</v>
      </c>
      <c r="L316" s="289">
        <f t="shared" si="120"/>
        <v>8006</v>
      </c>
      <c r="M316" s="290">
        <f t="shared" si="115"/>
        <v>0</v>
      </c>
      <c r="N316" s="290" t="e">
        <f t="shared" si="116"/>
        <v>#NUM!</v>
      </c>
      <c r="O316" s="290">
        <f t="shared" si="108"/>
        <v>0</v>
      </c>
      <c r="P316" s="290">
        <f t="shared" si="109"/>
        <v>0</v>
      </c>
      <c r="Q316" s="291">
        <f t="shared" si="110"/>
        <v>0</v>
      </c>
      <c r="S316" s="287">
        <f t="shared" si="104"/>
        <v>22</v>
      </c>
      <c r="T316" s="288">
        <f t="shared" si="121"/>
        <v>264</v>
      </c>
      <c r="U316" s="289">
        <f t="shared" si="122"/>
        <v>8006</v>
      </c>
      <c r="V316" s="290">
        <f t="shared" si="123"/>
        <v>0</v>
      </c>
      <c r="W316" s="290" t="e">
        <f t="shared" si="124"/>
        <v>#NUM!</v>
      </c>
      <c r="X316" s="290">
        <f t="shared" si="111"/>
        <v>0</v>
      </c>
      <c r="Y316" s="290" t="e">
        <f t="shared" si="112"/>
        <v>#NUM!</v>
      </c>
      <c r="Z316" s="290">
        <f t="shared" si="125"/>
        <v>0</v>
      </c>
      <c r="AA316" s="291"/>
      <c r="AC316"/>
      <c r="AD316"/>
      <c r="AE316"/>
      <c r="AF316"/>
      <c r="AG316"/>
      <c r="AH316"/>
      <c r="AI316"/>
      <c r="AJ316"/>
    </row>
    <row r="317" spans="1:36" hidden="1">
      <c r="A317" s="292">
        <f t="shared" si="102"/>
        <v>23</v>
      </c>
      <c r="B317" s="293">
        <f t="shared" si="117"/>
        <v>265</v>
      </c>
      <c r="C317" s="294">
        <f t="shared" si="118"/>
        <v>54089</v>
      </c>
      <c r="D317" s="295">
        <f t="shared" si="113"/>
        <v>2304926.6538667339</v>
      </c>
      <c r="E317" s="295">
        <f t="shared" si="114"/>
        <v>-30010.234142609712</v>
      </c>
      <c r="F317" s="295">
        <f t="shared" si="105"/>
        <v>-18965.793926164959</v>
      </c>
      <c r="G317" s="295">
        <f t="shared" si="106"/>
        <v>-11044.440216444753</v>
      </c>
      <c r="H317" s="298">
        <f t="shared" si="107"/>
        <v>2285960.8599405689</v>
      </c>
      <c r="J317" s="292">
        <f t="shared" si="103"/>
        <v>23</v>
      </c>
      <c r="K317" s="293">
        <f t="shared" si="119"/>
        <v>265</v>
      </c>
      <c r="L317" s="294">
        <f t="shared" si="120"/>
        <v>8037</v>
      </c>
      <c r="M317" s="295">
        <f t="shared" si="115"/>
        <v>0</v>
      </c>
      <c r="N317" s="295" t="e">
        <f t="shared" si="116"/>
        <v>#NUM!</v>
      </c>
      <c r="O317" s="295">
        <f t="shared" si="108"/>
        <v>0</v>
      </c>
      <c r="P317" s="295">
        <f t="shared" si="109"/>
        <v>0</v>
      </c>
      <c r="Q317" s="298">
        <f t="shared" si="110"/>
        <v>0</v>
      </c>
      <c r="S317" s="292">
        <f t="shared" si="104"/>
        <v>23</v>
      </c>
      <c r="T317" s="293">
        <f t="shared" si="121"/>
        <v>265</v>
      </c>
      <c r="U317" s="294">
        <f t="shared" si="122"/>
        <v>8037</v>
      </c>
      <c r="V317" s="295">
        <f t="shared" si="123"/>
        <v>0</v>
      </c>
      <c r="W317" s="290" t="e">
        <f t="shared" si="124"/>
        <v>#NUM!</v>
      </c>
      <c r="X317" s="295">
        <f t="shared" si="111"/>
        <v>0</v>
      </c>
      <c r="Y317" s="295" t="e">
        <f t="shared" si="112"/>
        <v>#NUM!</v>
      </c>
      <c r="Z317" s="295">
        <f t="shared" si="125"/>
        <v>0</v>
      </c>
      <c r="AA317" s="298"/>
      <c r="AC317"/>
      <c r="AD317"/>
      <c r="AE317"/>
      <c r="AF317"/>
      <c r="AG317"/>
      <c r="AH317"/>
      <c r="AI317"/>
      <c r="AJ317"/>
    </row>
    <row r="318" spans="1:36" hidden="1">
      <c r="A318" s="287">
        <f t="shared" si="102"/>
        <v>23</v>
      </c>
      <c r="B318" s="288">
        <f t="shared" si="117"/>
        <v>266</v>
      </c>
      <c r="C318" s="289">
        <f t="shared" si="118"/>
        <v>54118</v>
      </c>
      <c r="D318" s="290">
        <f t="shared" si="113"/>
        <v>2285960.8599405689</v>
      </c>
      <c r="E318" s="290">
        <f t="shared" si="114"/>
        <v>-30010.234142609712</v>
      </c>
      <c r="F318" s="290">
        <f t="shared" si="105"/>
        <v>-19056.671688727834</v>
      </c>
      <c r="G318" s="290">
        <f t="shared" si="106"/>
        <v>-10953.562453881881</v>
      </c>
      <c r="H318" s="291">
        <f t="shared" si="107"/>
        <v>2266904.1882518409</v>
      </c>
      <c r="J318" s="287">
        <f t="shared" si="103"/>
        <v>23</v>
      </c>
      <c r="K318" s="288">
        <f t="shared" si="119"/>
        <v>266</v>
      </c>
      <c r="L318" s="289">
        <f t="shared" si="120"/>
        <v>8068</v>
      </c>
      <c r="M318" s="290">
        <f t="shared" si="115"/>
        <v>0</v>
      </c>
      <c r="N318" s="290" t="e">
        <f t="shared" si="116"/>
        <v>#NUM!</v>
      </c>
      <c r="O318" s="290">
        <f t="shared" si="108"/>
        <v>0</v>
      </c>
      <c r="P318" s="290">
        <f t="shared" si="109"/>
        <v>0</v>
      </c>
      <c r="Q318" s="291">
        <f t="shared" si="110"/>
        <v>0</v>
      </c>
      <c r="S318" s="287">
        <f t="shared" si="104"/>
        <v>23</v>
      </c>
      <c r="T318" s="288">
        <f t="shared" si="121"/>
        <v>266</v>
      </c>
      <c r="U318" s="289">
        <f t="shared" si="122"/>
        <v>8068</v>
      </c>
      <c r="V318" s="290">
        <f t="shared" si="123"/>
        <v>0</v>
      </c>
      <c r="W318" s="290" t="e">
        <f t="shared" si="124"/>
        <v>#NUM!</v>
      </c>
      <c r="X318" s="290">
        <f t="shared" si="111"/>
        <v>0</v>
      </c>
      <c r="Y318" s="290" t="e">
        <f t="shared" si="112"/>
        <v>#NUM!</v>
      </c>
      <c r="Z318" s="290">
        <f t="shared" si="125"/>
        <v>0</v>
      </c>
      <c r="AA318" s="291"/>
      <c r="AC318"/>
      <c r="AD318"/>
      <c r="AE318"/>
      <c r="AF318"/>
      <c r="AG318"/>
      <c r="AH318"/>
      <c r="AI318"/>
      <c r="AJ318"/>
    </row>
    <row r="319" spans="1:36" hidden="1">
      <c r="A319" s="292">
        <f t="shared" si="102"/>
        <v>23</v>
      </c>
      <c r="B319" s="293">
        <f t="shared" si="117"/>
        <v>267</v>
      </c>
      <c r="C319" s="294">
        <f t="shared" si="118"/>
        <v>54149</v>
      </c>
      <c r="D319" s="295">
        <f t="shared" si="113"/>
        <v>2266904.1882518409</v>
      </c>
      <c r="E319" s="295">
        <f t="shared" si="114"/>
        <v>-30010.234142609712</v>
      </c>
      <c r="F319" s="295">
        <f t="shared" si="105"/>
        <v>-19147.984907236321</v>
      </c>
      <c r="G319" s="295">
        <f t="shared" si="106"/>
        <v>-10862.249235373391</v>
      </c>
      <c r="H319" s="296">
        <f t="shared" si="107"/>
        <v>2247756.2033446045</v>
      </c>
      <c r="J319" s="292">
        <f t="shared" si="103"/>
        <v>23</v>
      </c>
      <c r="K319" s="293">
        <f t="shared" si="119"/>
        <v>267</v>
      </c>
      <c r="L319" s="294">
        <f t="shared" si="120"/>
        <v>8096</v>
      </c>
      <c r="M319" s="295">
        <f t="shared" si="115"/>
        <v>0</v>
      </c>
      <c r="N319" s="295" t="e">
        <f t="shared" si="116"/>
        <v>#NUM!</v>
      </c>
      <c r="O319" s="295">
        <f t="shared" si="108"/>
        <v>0</v>
      </c>
      <c r="P319" s="295">
        <f t="shared" si="109"/>
        <v>0</v>
      </c>
      <c r="Q319" s="296">
        <f t="shared" si="110"/>
        <v>0</v>
      </c>
      <c r="S319" s="292">
        <f t="shared" si="104"/>
        <v>23</v>
      </c>
      <c r="T319" s="293">
        <f t="shared" si="121"/>
        <v>267</v>
      </c>
      <c r="U319" s="294">
        <f t="shared" si="122"/>
        <v>8096</v>
      </c>
      <c r="V319" s="295">
        <f t="shared" si="123"/>
        <v>0</v>
      </c>
      <c r="W319" s="290" t="e">
        <f t="shared" si="124"/>
        <v>#NUM!</v>
      </c>
      <c r="X319" s="295">
        <f t="shared" si="111"/>
        <v>0</v>
      </c>
      <c r="Y319" s="295" t="e">
        <f t="shared" si="112"/>
        <v>#NUM!</v>
      </c>
      <c r="Z319" s="295">
        <f t="shared" si="125"/>
        <v>0</v>
      </c>
      <c r="AA319" s="296"/>
      <c r="AC319"/>
      <c r="AD319"/>
      <c r="AE319"/>
      <c r="AF319"/>
      <c r="AG319"/>
      <c r="AH319"/>
      <c r="AI319"/>
      <c r="AJ319"/>
    </row>
    <row r="320" spans="1:36" hidden="1">
      <c r="A320" s="287">
        <f t="shared" si="102"/>
        <v>23</v>
      </c>
      <c r="B320" s="288">
        <f t="shared" si="117"/>
        <v>268</v>
      </c>
      <c r="C320" s="289">
        <f t="shared" si="118"/>
        <v>54179</v>
      </c>
      <c r="D320" s="290">
        <f t="shared" si="113"/>
        <v>2247756.2033446045</v>
      </c>
      <c r="E320" s="290">
        <f t="shared" si="114"/>
        <v>-30010.234142609712</v>
      </c>
      <c r="F320" s="290">
        <f t="shared" si="105"/>
        <v>-19239.735668250163</v>
      </c>
      <c r="G320" s="290">
        <f t="shared" si="106"/>
        <v>-10770.498474359551</v>
      </c>
      <c r="H320" s="291">
        <f t="shared" si="107"/>
        <v>2228516.4676763541</v>
      </c>
      <c r="J320" s="287">
        <f t="shared" si="103"/>
        <v>23</v>
      </c>
      <c r="K320" s="288">
        <f t="shared" si="119"/>
        <v>268</v>
      </c>
      <c r="L320" s="289">
        <f t="shared" si="120"/>
        <v>8127</v>
      </c>
      <c r="M320" s="290">
        <f t="shared" si="115"/>
        <v>0</v>
      </c>
      <c r="N320" s="290" t="e">
        <f t="shared" si="116"/>
        <v>#NUM!</v>
      </c>
      <c r="O320" s="290">
        <f t="shared" si="108"/>
        <v>0</v>
      </c>
      <c r="P320" s="290">
        <f t="shared" si="109"/>
        <v>0</v>
      </c>
      <c r="Q320" s="291">
        <f t="shared" si="110"/>
        <v>0</v>
      </c>
      <c r="S320" s="287">
        <f t="shared" si="104"/>
        <v>23</v>
      </c>
      <c r="T320" s="288">
        <f t="shared" si="121"/>
        <v>268</v>
      </c>
      <c r="U320" s="289">
        <f t="shared" si="122"/>
        <v>8127</v>
      </c>
      <c r="V320" s="290">
        <f t="shared" si="123"/>
        <v>0</v>
      </c>
      <c r="W320" s="290" t="e">
        <f t="shared" si="124"/>
        <v>#NUM!</v>
      </c>
      <c r="X320" s="290">
        <f t="shared" si="111"/>
        <v>0</v>
      </c>
      <c r="Y320" s="290" t="e">
        <f t="shared" si="112"/>
        <v>#NUM!</v>
      </c>
      <c r="Z320" s="290">
        <f t="shared" si="125"/>
        <v>0</v>
      </c>
      <c r="AA320" s="291"/>
      <c r="AC320"/>
      <c r="AD320"/>
      <c r="AE320"/>
      <c r="AF320"/>
      <c r="AG320"/>
      <c r="AH320"/>
      <c r="AI320"/>
      <c r="AJ320"/>
    </row>
    <row r="321" spans="1:36" hidden="1">
      <c r="A321" s="292">
        <f t="shared" si="102"/>
        <v>23</v>
      </c>
      <c r="B321" s="293">
        <f t="shared" si="117"/>
        <v>269</v>
      </c>
      <c r="C321" s="294">
        <f t="shared" si="118"/>
        <v>54210</v>
      </c>
      <c r="D321" s="295">
        <f t="shared" si="113"/>
        <v>2228516.4676763541</v>
      </c>
      <c r="E321" s="295">
        <f t="shared" si="114"/>
        <v>-30010.234142609712</v>
      </c>
      <c r="F321" s="295">
        <f t="shared" si="105"/>
        <v>-19331.926068327197</v>
      </c>
      <c r="G321" s="295">
        <f t="shared" si="106"/>
        <v>-10678.30807428252</v>
      </c>
      <c r="H321" s="298">
        <f t="shared" si="107"/>
        <v>2209184.5416080267</v>
      </c>
      <c r="J321" s="292">
        <f t="shared" si="103"/>
        <v>23</v>
      </c>
      <c r="K321" s="293">
        <f t="shared" si="119"/>
        <v>269</v>
      </c>
      <c r="L321" s="294">
        <f t="shared" si="120"/>
        <v>8157</v>
      </c>
      <c r="M321" s="295">
        <f t="shared" si="115"/>
        <v>0</v>
      </c>
      <c r="N321" s="295" t="e">
        <f t="shared" si="116"/>
        <v>#NUM!</v>
      </c>
      <c r="O321" s="295">
        <f t="shared" si="108"/>
        <v>0</v>
      </c>
      <c r="P321" s="295">
        <f t="shared" si="109"/>
        <v>0</v>
      </c>
      <c r="Q321" s="298">
        <f t="shared" si="110"/>
        <v>0</v>
      </c>
      <c r="S321" s="292">
        <f t="shared" si="104"/>
        <v>23</v>
      </c>
      <c r="T321" s="293">
        <f t="shared" si="121"/>
        <v>269</v>
      </c>
      <c r="U321" s="294">
        <f t="shared" si="122"/>
        <v>8157</v>
      </c>
      <c r="V321" s="295">
        <f t="shared" si="123"/>
        <v>0</v>
      </c>
      <c r="W321" s="290" t="e">
        <f t="shared" si="124"/>
        <v>#NUM!</v>
      </c>
      <c r="X321" s="295">
        <f t="shared" si="111"/>
        <v>0</v>
      </c>
      <c r="Y321" s="295" t="e">
        <f t="shared" si="112"/>
        <v>#NUM!</v>
      </c>
      <c r="Z321" s="295">
        <f t="shared" si="125"/>
        <v>0</v>
      </c>
      <c r="AA321" s="298"/>
      <c r="AC321"/>
      <c r="AD321"/>
      <c r="AE321"/>
      <c r="AF321"/>
      <c r="AG321"/>
      <c r="AH321"/>
      <c r="AI321"/>
      <c r="AJ321"/>
    </row>
    <row r="322" spans="1:36" hidden="1">
      <c r="A322" s="287">
        <f t="shared" ref="A322:A352" si="126">A310+1</f>
        <v>23</v>
      </c>
      <c r="B322" s="288">
        <f t="shared" si="117"/>
        <v>270</v>
      </c>
      <c r="C322" s="289">
        <f t="shared" si="118"/>
        <v>54240</v>
      </c>
      <c r="D322" s="290">
        <f t="shared" si="113"/>
        <v>2209184.5416080267</v>
      </c>
      <c r="E322" s="290">
        <f t="shared" si="114"/>
        <v>-30010.234142609712</v>
      </c>
      <c r="F322" s="290">
        <f t="shared" si="105"/>
        <v>-19424.558214071265</v>
      </c>
      <c r="G322" s="290">
        <f t="shared" si="106"/>
        <v>-10585.675928538449</v>
      </c>
      <c r="H322" s="291">
        <f t="shared" si="107"/>
        <v>2189759.9833939555</v>
      </c>
      <c r="J322" s="287">
        <f t="shared" ref="J322:J352" si="127">J310+1</f>
        <v>23</v>
      </c>
      <c r="K322" s="288">
        <f t="shared" si="119"/>
        <v>270</v>
      </c>
      <c r="L322" s="289">
        <f t="shared" si="120"/>
        <v>8188</v>
      </c>
      <c r="M322" s="290">
        <f t="shared" si="115"/>
        <v>0</v>
      </c>
      <c r="N322" s="290" t="e">
        <f t="shared" si="116"/>
        <v>#NUM!</v>
      </c>
      <c r="O322" s="290">
        <f t="shared" si="108"/>
        <v>0</v>
      </c>
      <c r="P322" s="290">
        <f t="shared" si="109"/>
        <v>0</v>
      </c>
      <c r="Q322" s="291">
        <f t="shared" si="110"/>
        <v>0</v>
      </c>
      <c r="S322" s="287">
        <f t="shared" ref="S322:S352" si="128">S310+1</f>
        <v>23</v>
      </c>
      <c r="T322" s="288">
        <f t="shared" si="121"/>
        <v>270</v>
      </c>
      <c r="U322" s="289">
        <f t="shared" si="122"/>
        <v>8188</v>
      </c>
      <c r="V322" s="290">
        <f t="shared" si="123"/>
        <v>0</v>
      </c>
      <c r="W322" s="290" t="e">
        <f t="shared" si="124"/>
        <v>#NUM!</v>
      </c>
      <c r="X322" s="290">
        <f t="shared" si="111"/>
        <v>0</v>
      </c>
      <c r="Y322" s="290" t="e">
        <f t="shared" si="112"/>
        <v>#NUM!</v>
      </c>
      <c r="Z322" s="290">
        <f t="shared" si="125"/>
        <v>0</v>
      </c>
      <c r="AA322" s="291"/>
      <c r="AC322"/>
      <c r="AD322"/>
      <c r="AE322"/>
      <c r="AF322"/>
      <c r="AG322"/>
      <c r="AH322"/>
      <c r="AI322"/>
      <c r="AJ322"/>
    </row>
    <row r="323" spans="1:36" hidden="1">
      <c r="A323" s="292">
        <f t="shared" si="126"/>
        <v>23</v>
      </c>
      <c r="B323" s="293">
        <f t="shared" si="117"/>
        <v>271</v>
      </c>
      <c r="C323" s="294">
        <f t="shared" si="118"/>
        <v>54271</v>
      </c>
      <c r="D323" s="295">
        <f t="shared" si="113"/>
        <v>2189759.9833939555</v>
      </c>
      <c r="E323" s="295">
        <f t="shared" si="114"/>
        <v>-30010.234142609712</v>
      </c>
      <c r="F323" s="295">
        <f t="shared" si="105"/>
        <v>-19517.634222180353</v>
      </c>
      <c r="G323" s="295">
        <f t="shared" si="106"/>
        <v>-10492.59992042936</v>
      </c>
      <c r="H323" s="296">
        <f t="shared" si="107"/>
        <v>2170242.3491717749</v>
      </c>
      <c r="J323" s="292">
        <f t="shared" si="127"/>
        <v>23</v>
      </c>
      <c r="K323" s="293">
        <f t="shared" si="119"/>
        <v>271</v>
      </c>
      <c r="L323" s="294">
        <f t="shared" si="120"/>
        <v>8218</v>
      </c>
      <c r="M323" s="295">
        <f t="shared" si="115"/>
        <v>0</v>
      </c>
      <c r="N323" s="295" t="e">
        <f t="shared" si="116"/>
        <v>#NUM!</v>
      </c>
      <c r="O323" s="295">
        <f t="shared" si="108"/>
        <v>0</v>
      </c>
      <c r="P323" s="295">
        <f t="shared" si="109"/>
        <v>0</v>
      </c>
      <c r="Q323" s="296">
        <f t="shared" si="110"/>
        <v>0</v>
      </c>
      <c r="S323" s="292">
        <f t="shared" si="128"/>
        <v>23</v>
      </c>
      <c r="T323" s="293">
        <f t="shared" si="121"/>
        <v>271</v>
      </c>
      <c r="U323" s="294">
        <f t="shared" si="122"/>
        <v>8218</v>
      </c>
      <c r="V323" s="295">
        <f t="shared" si="123"/>
        <v>0</v>
      </c>
      <c r="W323" s="290" t="e">
        <f t="shared" si="124"/>
        <v>#NUM!</v>
      </c>
      <c r="X323" s="295">
        <f t="shared" si="111"/>
        <v>0</v>
      </c>
      <c r="Y323" s="295" t="e">
        <f t="shared" si="112"/>
        <v>#NUM!</v>
      </c>
      <c r="Z323" s="295">
        <f t="shared" si="125"/>
        <v>0</v>
      </c>
      <c r="AA323" s="296"/>
      <c r="AC323"/>
      <c r="AD323"/>
      <c r="AE323"/>
      <c r="AF323"/>
      <c r="AG323"/>
      <c r="AH323"/>
      <c r="AI323"/>
      <c r="AJ323"/>
    </row>
    <row r="324" spans="1:36" hidden="1">
      <c r="A324" s="287">
        <f t="shared" si="126"/>
        <v>23</v>
      </c>
      <c r="B324" s="288">
        <f t="shared" si="117"/>
        <v>272</v>
      </c>
      <c r="C324" s="289">
        <f t="shared" si="118"/>
        <v>54302</v>
      </c>
      <c r="D324" s="290">
        <f t="shared" si="113"/>
        <v>2170242.3491717749</v>
      </c>
      <c r="E324" s="290">
        <f t="shared" si="114"/>
        <v>-30010.234142609712</v>
      </c>
      <c r="F324" s="290">
        <f t="shared" si="105"/>
        <v>-19611.156219494969</v>
      </c>
      <c r="G324" s="290">
        <f t="shared" si="106"/>
        <v>-10399.077923114744</v>
      </c>
      <c r="H324" s="291">
        <f t="shared" si="107"/>
        <v>2150631.1929522799</v>
      </c>
      <c r="J324" s="287">
        <f t="shared" si="127"/>
        <v>23</v>
      </c>
      <c r="K324" s="288">
        <f t="shared" si="119"/>
        <v>272</v>
      </c>
      <c r="L324" s="289">
        <f t="shared" si="120"/>
        <v>8249</v>
      </c>
      <c r="M324" s="290">
        <f t="shared" si="115"/>
        <v>0</v>
      </c>
      <c r="N324" s="290" t="e">
        <f t="shared" si="116"/>
        <v>#NUM!</v>
      </c>
      <c r="O324" s="290">
        <f t="shared" si="108"/>
        <v>0</v>
      </c>
      <c r="P324" s="290">
        <f t="shared" si="109"/>
        <v>0</v>
      </c>
      <c r="Q324" s="291">
        <f t="shared" si="110"/>
        <v>0</v>
      </c>
      <c r="S324" s="287">
        <f t="shared" si="128"/>
        <v>23</v>
      </c>
      <c r="T324" s="288">
        <f t="shared" si="121"/>
        <v>272</v>
      </c>
      <c r="U324" s="289">
        <f t="shared" si="122"/>
        <v>8249</v>
      </c>
      <c r="V324" s="290">
        <f t="shared" si="123"/>
        <v>0</v>
      </c>
      <c r="W324" s="290" t="e">
        <f t="shared" si="124"/>
        <v>#NUM!</v>
      </c>
      <c r="X324" s="290">
        <f t="shared" si="111"/>
        <v>0</v>
      </c>
      <c r="Y324" s="290" t="e">
        <f t="shared" si="112"/>
        <v>#NUM!</v>
      </c>
      <c r="Z324" s="290">
        <f t="shared" si="125"/>
        <v>0</v>
      </c>
      <c r="AA324" s="291"/>
      <c r="AC324"/>
      <c r="AD324"/>
      <c r="AE324"/>
      <c r="AF324"/>
      <c r="AG324"/>
      <c r="AH324"/>
      <c r="AI324"/>
      <c r="AJ324"/>
    </row>
    <row r="325" spans="1:36" hidden="1">
      <c r="A325" s="292">
        <f t="shared" si="126"/>
        <v>23</v>
      </c>
      <c r="B325" s="293">
        <f t="shared" si="117"/>
        <v>273</v>
      </c>
      <c r="C325" s="294">
        <f t="shared" si="118"/>
        <v>54332</v>
      </c>
      <c r="D325" s="295">
        <f t="shared" si="113"/>
        <v>2150631.1929522799</v>
      </c>
      <c r="E325" s="295">
        <f t="shared" si="114"/>
        <v>-30010.234142609712</v>
      </c>
      <c r="F325" s="295">
        <f t="shared" si="105"/>
        <v>-19705.126343046715</v>
      </c>
      <c r="G325" s="295">
        <f t="shared" si="106"/>
        <v>-10305.107799563</v>
      </c>
      <c r="H325" s="298">
        <f t="shared" si="107"/>
        <v>2130926.0666092332</v>
      </c>
      <c r="J325" s="292">
        <f t="shared" si="127"/>
        <v>23</v>
      </c>
      <c r="K325" s="293">
        <f t="shared" si="119"/>
        <v>273</v>
      </c>
      <c r="L325" s="294">
        <f t="shared" si="120"/>
        <v>8280</v>
      </c>
      <c r="M325" s="295">
        <f t="shared" si="115"/>
        <v>0</v>
      </c>
      <c r="N325" s="295" t="e">
        <f t="shared" si="116"/>
        <v>#NUM!</v>
      </c>
      <c r="O325" s="295">
        <f t="shared" si="108"/>
        <v>0</v>
      </c>
      <c r="P325" s="295">
        <f t="shared" si="109"/>
        <v>0</v>
      </c>
      <c r="Q325" s="298">
        <f t="shared" si="110"/>
        <v>0</v>
      </c>
      <c r="S325" s="292">
        <f t="shared" si="128"/>
        <v>23</v>
      </c>
      <c r="T325" s="293">
        <f t="shared" si="121"/>
        <v>273</v>
      </c>
      <c r="U325" s="294">
        <f t="shared" si="122"/>
        <v>8280</v>
      </c>
      <c r="V325" s="295">
        <f t="shared" si="123"/>
        <v>0</v>
      </c>
      <c r="W325" s="290" t="e">
        <f t="shared" si="124"/>
        <v>#NUM!</v>
      </c>
      <c r="X325" s="295">
        <f t="shared" si="111"/>
        <v>0</v>
      </c>
      <c r="Y325" s="295" t="e">
        <f t="shared" si="112"/>
        <v>#NUM!</v>
      </c>
      <c r="Z325" s="295">
        <f t="shared" si="125"/>
        <v>0</v>
      </c>
      <c r="AA325" s="298"/>
      <c r="AC325"/>
      <c r="AD325"/>
      <c r="AE325"/>
      <c r="AF325"/>
      <c r="AG325"/>
      <c r="AH325"/>
      <c r="AI325"/>
      <c r="AJ325"/>
    </row>
    <row r="326" spans="1:36" hidden="1">
      <c r="A326" s="287">
        <f t="shared" si="126"/>
        <v>23</v>
      </c>
      <c r="B326" s="288">
        <f t="shared" si="117"/>
        <v>274</v>
      </c>
      <c r="C326" s="289">
        <f t="shared" si="118"/>
        <v>54363</v>
      </c>
      <c r="D326" s="290">
        <f t="shared" si="113"/>
        <v>2130926.0666092332</v>
      </c>
      <c r="E326" s="290">
        <f t="shared" si="114"/>
        <v>-30010.234142609712</v>
      </c>
      <c r="F326" s="290">
        <f t="shared" si="105"/>
        <v>-19799.546740107147</v>
      </c>
      <c r="G326" s="290">
        <f t="shared" si="106"/>
        <v>-10210.687402502566</v>
      </c>
      <c r="H326" s="291">
        <f t="shared" si="107"/>
        <v>2111126.5198691259</v>
      </c>
      <c r="J326" s="287">
        <f t="shared" si="127"/>
        <v>23</v>
      </c>
      <c r="K326" s="288">
        <f t="shared" si="119"/>
        <v>274</v>
      </c>
      <c r="L326" s="289">
        <f t="shared" si="120"/>
        <v>8310</v>
      </c>
      <c r="M326" s="290">
        <f t="shared" si="115"/>
        <v>0</v>
      </c>
      <c r="N326" s="290" t="e">
        <f t="shared" si="116"/>
        <v>#NUM!</v>
      </c>
      <c r="O326" s="290">
        <f t="shared" si="108"/>
        <v>0</v>
      </c>
      <c r="P326" s="290">
        <f t="shared" si="109"/>
        <v>0</v>
      </c>
      <c r="Q326" s="291">
        <f t="shared" si="110"/>
        <v>0</v>
      </c>
      <c r="S326" s="287">
        <f t="shared" si="128"/>
        <v>23</v>
      </c>
      <c r="T326" s="288">
        <f t="shared" si="121"/>
        <v>274</v>
      </c>
      <c r="U326" s="289">
        <f t="shared" si="122"/>
        <v>8310</v>
      </c>
      <c r="V326" s="290">
        <f t="shared" si="123"/>
        <v>0</v>
      </c>
      <c r="W326" s="290" t="e">
        <f t="shared" si="124"/>
        <v>#NUM!</v>
      </c>
      <c r="X326" s="290">
        <f t="shared" si="111"/>
        <v>0</v>
      </c>
      <c r="Y326" s="290" t="e">
        <f t="shared" si="112"/>
        <v>#NUM!</v>
      </c>
      <c r="Z326" s="290">
        <f t="shared" si="125"/>
        <v>0</v>
      </c>
      <c r="AA326" s="291"/>
      <c r="AC326"/>
      <c r="AD326"/>
      <c r="AE326"/>
      <c r="AF326"/>
      <c r="AG326"/>
      <c r="AH326"/>
      <c r="AI326"/>
      <c r="AJ326"/>
    </row>
    <row r="327" spans="1:36" hidden="1">
      <c r="A327" s="292">
        <f t="shared" si="126"/>
        <v>23</v>
      </c>
      <c r="B327" s="293">
        <f t="shared" si="117"/>
        <v>275</v>
      </c>
      <c r="C327" s="294">
        <f t="shared" si="118"/>
        <v>54393</v>
      </c>
      <c r="D327" s="295">
        <f t="shared" si="113"/>
        <v>2111126.5198691259</v>
      </c>
      <c r="E327" s="295">
        <f t="shared" si="114"/>
        <v>-30010.234142609712</v>
      </c>
      <c r="F327" s="295">
        <f t="shared" si="105"/>
        <v>-19894.41956823683</v>
      </c>
      <c r="G327" s="295">
        <f t="shared" si="106"/>
        <v>-10115.814574372887</v>
      </c>
      <c r="H327" s="296">
        <f t="shared" si="107"/>
        <v>2091232.100300889</v>
      </c>
      <c r="J327" s="292">
        <f t="shared" si="127"/>
        <v>23</v>
      </c>
      <c r="K327" s="293">
        <f t="shared" si="119"/>
        <v>275</v>
      </c>
      <c r="L327" s="294">
        <f t="shared" si="120"/>
        <v>8341</v>
      </c>
      <c r="M327" s="295">
        <f t="shared" si="115"/>
        <v>0</v>
      </c>
      <c r="N327" s="295" t="e">
        <f t="shared" si="116"/>
        <v>#NUM!</v>
      </c>
      <c r="O327" s="295">
        <f t="shared" si="108"/>
        <v>0</v>
      </c>
      <c r="P327" s="295">
        <f t="shared" si="109"/>
        <v>0</v>
      </c>
      <c r="Q327" s="296">
        <f t="shared" si="110"/>
        <v>0</v>
      </c>
      <c r="S327" s="292">
        <f t="shared" si="128"/>
        <v>23</v>
      </c>
      <c r="T327" s="293">
        <f t="shared" si="121"/>
        <v>275</v>
      </c>
      <c r="U327" s="294">
        <f t="shared" si="122"/>
        <v>8341</v>
      </c>
      <c r="V327" s="295">
        <f t="shared" si="123"/>
        <v>0</v>
      </c>
      <c r="W327" s="290" t="e">
        <f t="shared" si="124"/>
        <v>#NUM!</v>
      </c>
      <c r="X327" s="295">
        <f t="shared" si="111"/>
        <v>0</v>
      </c>
      <c r="Y327" s="295" t="e">
        <f t="shared" si="112"/>
        <v>#NUM!</v>
      </c>
      <c r="Z327" s="295">
        <f t="shared" si="125"/>
        <v>0</v>
      </c>
      <c r="AA327" s="296"/>
      <c r="AC327"/>
      <c r="AD327"/>
      <c r="AE327"/>
      <c r="AF327"/>
      <c r="AG327"/>
      <c r="AH327"/>
      <c r="AI327"/>
      <c r="AJ327"/>
    </row>
    <row r="328" spans="1:36" hidden="1">
      <c r="A328" s="287">
        <f t="shared" si="126"/>
        <v>23</v>
      </c>
      <c r="B328" s="288">
        <f t="shared" si="117"/>
        <v>276</v>
      </c>
      <c r="C328" s="289">
        <f t="shared" si="118"/>
        <v>54424</v>
      </c>
      <c r="D328" s="290">
        <f t="shared" si="113"/>
        <v>2091232.100300889</v>
      </c>
      <c r="E328" s="290">
        <f t="shared" si="114"/>
        <v>-30010.234142609712</v>
      </c>
      <c r="F328" s="290">
        <f t="shared" si="105"/>
        <v>-19989.746995334626</v>
      </c>
      <c r="G328" s="290">
        <f t="shared" si="106"/>
        <v>-10020.487147275086</v>
      </c>
      <c r="H328" s="291">
        <f t="shared" si="107"/>
        <v>2071242.3533055545</v>
      </c>
      <c r="J328" s="287">
        <f t="shared" si="127"/>
        <v>23</v>
      </c>
      <c r="K328" s="288">
        <f t="shared" si="119"/>
        <v>276</v>
      </c>
      <c r="L328" s="289">
        <f t="shared" si="120"/>
        <v>8371</v>
      </c>
      <c r="M328" s="290">
        <f t="shared" si="115"/>
        <v>0</v>
      </c>
      <c r="N328" s="290" t="e">
        <f t="shared" si="116"/>
        <v>#NUM!</v>
      </c>
      <c r="O328" s="290">
        <f t="shared" si="108"/>
        <v>0</v>
      </c>
      <c r="P328" s="290">
        <f t="shared" si="109"/>
        <v>0</v>
      </c>
      <c r="Q328" s="291">
        <f t="shared" si="110"/>
        <v>0</v>
      </c>
      <c r="S328" s="287">
        <f t="shared" si="128"/>
        <v>23</v>
      </c>
      <c r="T328" s="288">
        <f t="shared" si="121"/>
        <v>276</v>
      </c>
      <c r="U328" s="289">
        <f t="shared" si="122"/>
        <v>8371</v>
      </c>
      <c r="V328" s="290">
        <f t="shared" si="123"/>
        <v>0</v>
      </c>
      <c r="W328" s="290" t="e">
        <f t="shared" si="124"/>
        <v>#NUM!</v>
      </c>
      <c r="X328" s="290">
        <f t="shared" si="111"/>
        <v>0</v>
      </c>
      <c r="Y328" s="290" t="e">
        <f t="shared" si="112"/>
        <v>#NUM!</v>
      </c>
      <c r="Z328" s="290">
        <f t="shared" si="125"/>
        <v>0</v>
      </c>
      <c r="AA328" s="291"/>
      <c r="AC328"/>
      <c r="AD328"/>
      <c r="AE328"/>
      <c r="AF328"/>
      <c r="AG328"/>
      <c r="AH328"/>
      <c r="AI328"/>
      <c r="AJ328"/>
    </row>
    <row r="329" spans="1:36" hidden="1">
      <c r="A329" s="292">
        <f t="shared" si="126"/>
        <v>24</v>
      </c>
      <c r="B329" s="293">
        <f t="shared" si="117"/>
        <v>277</v>
      </c>
      <c r="C329" s="294">
        <f t="shared" si="118"/>
        <v>54455</v>
      </c>
      <c r="D329" s="295">
        <f t="shared" si="113"/>
        <v>2071242.3533055545</v>
      </c>
      <c r="E329" s="295">
        <f t="shared" si="114"/>
        <v>-30010.234142609712</v>
      </c>
      <c r="F329" s="295">
        <f t="shared" si="105"/>
        <v>-20085.531199687273</v>
      </c>
      <c r="G329" s="295">
        <f t="shared" si="106"/>
        <v>-9924.7029429224403</v>
      </c>
      <c r="H329" s="298">
        <f t="shared" si="107"/>
        <v>2051156.8221058673</v>
      </c>
      <c r="J329" s="292">
        <f t="shared" si="127"/>
        <v>24</v>
      </c>
      <c r="K329" s="293">
        <f t="shared" si="119"/>
        <v>277</v>
      </c>
      <c r="L329" s="294">
        <f t="shared" si="120"/>
        <v>8402</v>
      </c>
      <c r="M329" s="295">
        <f t="shared" si="115"/>
        <v>0</v>
      </c>
      <c r="N329" s="295" t="e">
        <f t="shared" si="116"/>
        <v>#NUM!</v>
      </c>
      <c r="O329" s="295">
        <f t="shared" si="108"/>
        <v>0</v>
      </c>
      <c r="P329" s="295">
        <f t="shared" si="109"/>
        <v>0</v>
      </c>
      <c r="Q329" s="298">
        <f t="shared" si="110"/>
        <v>0</v>
      </c>
      <c r="S329" s="292">
        <f t="shared" si="128"/>
        <v>24</v>
      </c>
      <c r="T329" s="293">
        <f t="shared" si="121"/>
        <v>277</v>
      </c>
      <c r="U329" s="294">
        <f t="shared" si="122"/>
        <v>8402</v>
      </c>
      <c r="V329" s="295">
        <f t="shared" si="123"/>
        <v>0</v>
      </c>
      <c r="W329" s="290" t="e">
        <f t="shared" si="124"/>
        <v>#NUM!</v>
      </c>
      <c r="X329" s="295">
        <f t="shared" si="111"/>
        <v>0</v>
      </c>
      <c r="Y329" s="295" t="e">
        <f t="shared" si="112"/>
        <v>#NUM!</v>
      </c>
      <c r="Z329" s="295">
        <f t="shared" si="125"/>
        <v>0</v>
      </c>
      <c r="AA329" s="298"/>
      <c r="AC329"/>
      <c r="AD329"/>
      <c r="AE329"/>
      <c r="AF329"/>
      <c r="AG329"/>
      <c r="AH329"/>
      <c r="AI329"/>
      <c r="AJ329"/>
    </row>
    <row r="330" spans="1:36" hidden="1">
      <c r="A330" s="287">
        <f t="shared" si="126"/>
        <v>24</v>
      </c>
      <c r="B330" s="288">
        <f t="shared" si="117"/>
        <v>278</v>
      </c>
      <c r="C330" s="289">
        <f t="shared" si="118"/>
        <v>54483</v>
      </c>
      <c r="D330" s="290">
        <f t="shared" si="113"/>
        <v>2051156.8221058673</v>
      </c>
      <c r="E330" s="290">
        <f t="shared" si="114"/>
        <v>-30010.234142609712</v>
      </c>
      <c r="F330" s="290">
        <f t="shared" si="105"/>
        <v>-20181.774370019109</v>
      </c>
      <c r="G330" s="290">
        <f t="shared" si="106"/>
        <v>-9828.4597725906042</v>
      </c>
      <c r="H330" s="291">
        <f t="shared" si="107"/>
        <v>2030975.0477358482</v>
      </c>
      <c r="J330" s="287">
        <f t="shared" si="127"/>
        <v>24</v>
      </c>
      <c r="K330" s="288">
        <f t="shared" si="119"/>
        <v>278</v>
      </c>
      <c r="L330" s="289">
        <f t="shared" si="120"/>
        <v>8433</v>
      </c>
      <c r="M330" s="290">
        <f t="shared" si="115"/>
        <v>0</v>
      </c>
      <c r="N330" s="290" t="e">
        <f t="shared" si="116"/>
        <v>#NUM!</v>
      </c>
      <c r="O330" s="290">
        <f t="shared" si="108"/>
        <v>0</v>
      </c>
      <c r="P330" s="290">
        <f t="shared" si="109"/>
        <v>0</v>
      </c>
      <c r="Q330" s="291">
        <f t="shared" si="110"/>
        <v>0</v>
      </c>
      <c r="S330" s="287">
        <f t="shared" si="128"/>
        <v>24</v>
      </c>
      <c r="T330" s="288">
        <f t="shared" si="121"/>
        <v>278</v>
      </c>
      <c r="U330" s="289">
        <f t="shared" si="122"/>
        <v>8433</v>
      </c>
      <c r="V330" s="290">
        <f t="shared" si="123"/>
        <v>0</v>
      </c>
      <c r="W330" s="290" t="e">
        <f t="shared" si="124"/>
        <v>#NUM!</v>
      </c>
      <c r="X330" s="290">
        <f t="shared" si="111"/>
        <v>0</v>
      </c>
      <c r="Y330" s="290" t="e">
        <f t="shared" si="112"/>
        <v>#NUM!</v>
      </c>
      <c r="Z330" s="290">
        <f t="shared" si="125"/>
        <v>0</v>
      </c>
      <c r="AA330" s="291"/>
      <c r="AC330"/>
      <c r="AD330"/>
      <c r="AE330"/>
      <c r="AF330"/>
      <c r="AG330"/>
      <c r="AH330"/>
      <c r="AI330"/>
      <c r="AJ330"/>
    </row>
    <row r="331" spans="1:36" hidden="1">
      <c r="A331" s="292">
        <f t="shared" si="126"/>
        <v>24</v>
      </c>
      <c r="B331" s="293">
        <f t="shared" si="117"/>
        <v>279</v>
      </c>
      <c r="C331" s="294">
        <f t="shared" si="118"/>
        <v>54514</v>
      </c>
      <c r="D331" s="295">
        <f t="shared" si="113"/>
        <v>2030975.0477358482</v>
      </c>
      <c r="E331" s="295">
        <f t="shared" si="114"/>
        <v>-30010.234142609712</v>
      </c>
      <c r="F331" s="295">
        <f t="shared" si="105"/>
        <v>-20278.478705542115</v>
      </c>
      <c r="G331" s="295">
        <f t="shared" si="106"/>
        <v>-9731.7554370675953</v>
      </c>
      <c r="H331" s="296">
        <f t="shared" si="107"/>
        <v>2010696.5690303061</v>
      </c>
      <c r="J331" s="292">
        <f t="shared" si="127"/>
        <v>24</v>
      </c>
      <c r="K331" s="293">
        <f t="shared" si="119"/>
        <v>279</v>
      </c>
      <c r="L331" s="294">
        <f t="shared" si="120"/>
        <v>8461</v>
      </c>
      <c r="M331" s="295">
        <f t="shared" si="115"/>
        <v>0</v>
      </c>
      <c r="N331" s="295" t="e">
        <f t="shared" si="116"/>
        <v>#NUM!</v>
      </c>
      <c r="O331" s="295">
        <f t="shared" si="108"/>
        <v>0</v>
      </c>
      <c r="P331" s="295">
        <f t="shared" si="109"/>
        <v>0</v>
      </c>
      <c r="Q331" s="296">
        <f t="shared" si="110"/>
        <v>0</v>
      </c>
      <c r="S331" s="292">
        <f t="shared" si="128"/>
        <v>24</v>
      </c>
      <c r="T331" s="293">
        <f t="shared" si="121"/>
        <v>279</v>
      </c>
      <c r="U331" s="294">
        <f t="shared" si="122"/>
        <v>8461</v>
      </c>
      <c r="V331" s="295">
        <f t="shared" si="123"/>
        <v>0</v>
      </c>
      <c r="W331" s="290" t="e">
        <f t="shared" si="124"/>
        <v>#NUM!</v>
      </c>
      <c r="X331" s="295">
        <f t="shared" si="111"/>
        <v>0</v>
      </c>
      <c r="Y331" s="295" t="e">
        <f t="shared" si="112"/>
        <v>#NUM!</v>
      </c>
      <c r="Z331" s="295">
        <f t="shared" si="125"/>
        <v>0</v>
      </c>
      <c r="AA331" s="296"/>
      <c r="AC331"/>
      <c r="AD331"/>
      <c r="AE331"/>
      <c r="AF331"/>
      <c r="AG331"/>
      <c r="AH331"/>
      <c r="AI331"/>
      <c r="AJ331"/>
    </row>
    <row r="332" spans="1:36" hidden="1">
      <c r="A332" s="287">
        <f t="shared" si="126"/>
        <v>24</v>
      </c>
      <c r="B332" s="288">
        <f t="shared" si="117"/>
        <v>280</v>
      </c>
      <c r="C332" s="289">
        <f t="shared" si="118"/>
        <v>54544</v>
      </c>
      <c r="D332" s="290">
        <f t="shared" si="113"/>
        <v>2010696.5690303061</v>
      </c>
      <c r="E332" s="290">
        <f t="shared" si="114"/>
        <v>-30010.234142609712</v>
      </c>
      <c r="F332" s="290">
        <f t="shared" si="105"/>
        <v>-20375.646416006173</v>
      </c>
      <c r="G332" s="290">
        <f t="shared" si="106"/>
        <v>-9634.5877266035404</v>
      </c>
      <c r="H332" s="291">
        <f t="shared" si="107"/>
        <v>1990320.9226142999</v>
      </c>
      <c r="J332" s="287">
        <f t="shared" si="127"/>
        <v>24</v>
      </c>
      <c r="K332" s="288">
        <f t="shared" si="119"/>
        <v>280</v>
      </c>
      <c r="L332" s="289">
        <f t="shared" si="120"/>
        <v>8492</v>
      </c>
      <c r="M332" s="290">
        <f t="shared" si="115"/>
        <v>0</v>
      </c>
      <c r="N332" s="290" t="e">
        <f t="shared" si="116"/>
        <v>#NUM!</v>
      </c>
      <c r="O332" s="290">
        <f t="shared" si="108"/>
        <v>0</v>
      </c>
      <c r="P332" s="290">
        <f t="shared" si="109"/>
        <v>0</v>
      </c>
      <c r="Q332" s="291">
        <f t="shared" si="110"/>
        <v>0</v>
      </c>
      <c r="S332" s="287">
        <f t="shared" si="128"/>
        <v>24</v>
      </c>
      <c r="T332" s="288">
        <f t="shared" si="121"/>
        <v>280</v>
      </c>
      <c r="U332" s="289">
        <f t="shared" si="122"/>
        <v>8492</v>
      </c>
      <c r="V332" s="290">
        <f t="shared" si="123"/>
        <v>0</v>
      </c>
      <c r="W332" s="290" t="e">
        <f t="shared" si="124"/>
        <v>#NUM!</v>
      </c>
      <c r="X332" s="290">
        <f t="shared" si="111"/>
        <v>0</v>
      </c>
      <c r="Y332" s="290" t="e">
        <f t="shared" si="112"/>
        <v>#NUM!</v>
      </c>
      <c r="Z332" s="290">
        <f t="shared" si="125"/>
        <v>0</v>
      </c>
      <c r="AA332" s="291"/>
      <c r="AC332"/>
      <c r="AD332"/>
      <c r="AE332"/>
      <c r="AF332"/>
      <c r="AG332"/>
      <c r="AH332"/>
      <c r="AI332"/>
      <c r="AJ332"/>
    </row>
    <row r="333" spans="1:36" hidden="1">
      <c r="A333" s="292">
        <f t="shared" si="126"/>
        <v>24</v>
      </c>
      <c r="B333" s="293">
        <f t="shared" si="117"/>
        <v>281</v>
      </c>
      <c r="C333" s="294">
        <f t="shared" si="118"/>
        <v>54575</v>
      </c>
      <c r="D333" s="295">
        <f t="shared" si="113"/>
        <v>1990320.9226142999</v>
      </c>
      <c r="E333" s="295">
        <f t="shared" si="114"/>
        <v>-30010.234142609712</v>
      </c>
      <c r="F333" s="295">
        <f t="shared" si="105"/>
        <v>-20473.279721749535</v>
      </c>
      <c r="G333" s="295">
        <f t="shared" si="106"/>
        <v>-9536.9544208601765</v>
      </c>
      <c r="H333" s="298">
        <f t="shared" si="107"/>
        <v>1969847.6428925504</v>
      </c>
      <c r="J333" s="292">
        <f t="shared" si="127"/>
        <v>24</v>
      </c>
      <c r="K333" s="293">
        <f t="shared" si="119"/>
        <v>281</v>
      </c>
      <c r="L333" s="294">
        <f t="shared" si="120"/>
        <v>8522</v>
      </c>
      <c r="M333" s="295">
        <f t="shared" si="115"/>
        <v>0</v>
      </c>
      <c r="N333" s="295" t="e">
        <f t="shared" si="116"/>
        <v>#NUM!</v>
      </c>
      <c r="O333" s="295">
        <f t="shared" si="108"/>
        <v>0</v>
      </c>
      <c r="P333" s="295">
        <f t="shared" si="109"/>
        <v>0</v>
      </c>
      <c r="Q333" s="298">
        <f t="shared" si="110"/>
        <v>0</v>
      </c>
      <c r="S333" s="292">
        <f t="shared" si="128"/>
        <v>24</v>
      </c>
      <c r="T333" s="293">
        <f t="shared" si="121"/>
        <v>281</v>
      </c>
      <c r="U333" s="294">
        <f t="shared" si="122"/>
        <v>8522</v>
      </c>
      <c r="V333" s="295">
        <f t="shared" si="123"/>
        <v>0</v>
      </c>
      <c r="W333" s="290" t="e">
        <f t="shared" si="124"/>
        <v>#NUM!</v>
      </c>
      <c r="X333" s="295">
        <f t="shared" si="111"/>
        <v>0</v>
      </c>
      <c r="Y333" s="295" t="e">
        <f t="shared" si="112"/>
        <v>#NUM!</v>
      </c>
      <c r="Z333" s="295">
        <f t="shared" si="125"/>
        <v>0</v>
      </c>
      <c r="AA333" s="298"/>
      <c r="AC333"/>
      <c r="AD333"/>
      <c r="AE333"/>
      <c r="AF333"/>
      <c r="AG333"/>
      <c r="AH333"/>
      <c r="AI333"/>
      <c r="AJ333"/>
    </row>
    <row r="334" spans="1:36" hidden="1">
      <c r="A334" s="287">
        <f t="shared" si="126"/>
        <v>24</v>
      </c>
      <c r="B334" s="288">
        <f t="shared" si="117"/>
        <v>282</v>
      </c>
      <c r="C334" s="289">
        <f t="shared" si="118"/>
        <v>54605</v>
      </c>
      <c r="D334" s="290">
        <f t="shared" si="113"/>
        <v>1969847.6428925504</v>
      </c>
      <c r="E334" s="290">
        <f t="shared" si="114"/>
        <v>-30010.234142609712</v>
      </c>
      <c r="F334" s="290">
        <f t="shared" si="105"/>
        <v>-20571.380853749582</v>
      </c>
      <c r="G334" s="290">
        <f t="shared" si="106"/>
        <v>-9438.8532888601276</v>
      </c>
      <c r="H334" s="291">
        <f t="shared" si="107"/>
        <v>1949276.2620388009</v>
      </c>
      <c r="J334" s="287">
        <f t="shared" si="127"/>
        <v>24</v>
      </c>
      <c r="K334" s="288">
        <f t="shared" si="119"/>
        <v>282</v>
      </c>
      <c r="L334" s="289">
        <f t="shared" si="120"/>
        <v>8553</v>
      </c>
      <c r="M334" s="290">
        <f t="shared" si="115"/>
        <v>0</v>
      </c>
      <c r="N334" s="290" t="e">
        <f t="shared" si="116"/>
        <v>#NUM!</v>
      </c>
      <c r="O334" s="290">
        <f t="shared" si="108"/>
        <v>0</v>
      </c>
      <c r="P334" s="290">
        <f t="shared" si="109"/>
        <v>0</v>
      </c>
      <c r="Q334" s="291">
        <f t="shared" si="110"/>
        <v>0</v>
      </c>
      <c r="S334" s="287">
        <f t="shared" si="128"/>
        <v>24</v>
      </c>
      <c r="T334" s="288">
        <f t="shared" si="121"/>
        <v>282</v>
      </c>
      <c r="U334" s="289">
        <f t="shared" si="122"/>
        <v>8553</v>
      </c>
      <c r="V334" s="290">
        <f t="shared" si="123"/>
        <v>0</v>
      </c>
      <c r="W334" s="290" t="e">
        <f t="shared" si="124"/>
        <v>#NUM!</v>
      </c>
      <c r="X334" s="290">
        <f t="shared" si="111"/>
        <v>0</v>
      </c>
      <c r="Y334" s="290" t="e">
        <f t="shared" si="112"/>
        <v>#NUM!</v>
      </c>
      <c r="Z334" s="290">
        <f t="shared" si="125"/>
        <v>0</v>
      </c>
      <c r="AA334" s="291"/>
      <c r="AC334"/>
      <c r="AD334"/>
      <c r="AE334"/>
      <c r="AF334"/>
      <c r="AG334"/>
      <c r="AH334"/>
      <c r="AI334"/>
      <c r="AJ334"/>
    </row>
    <row r="335" spans="1:36" hidden="1">
      <c r="A335" s="292">
        <f t="shared" si="126"/>
        <v>24</v>
      </c>
      <c r="B335" s="293">
        <f t="shared" si="117"/>
        <v>283</v>
      </c>
      <c r="C335" s="294">
        <f t="shared" si="118"/>
        <v>54636</v>
      </c>
      <c r="D335" s="295">
        <f t="shared" si="113"/>
        <v>1949276.2620388009</v>
      </c>
      <c r="E335" s="295">
        <f t="shared" si="114"/>
        <v>-30010.234142609712</v>
      </c>
      <c r="F335" s="295">
        <f t="shared" si="105"/>
        <v>-20669.952053673802</v>
      </c>
      <c r="G335" s="295">
        <f t="shared" si="106"/>
        <v>-9340.28208893591</v>
      </c>
      <c r="H335" s="296">
        <f t="shared" si="107"/>
        <v>1928606.3099851271</v>
      </c>
      <c r="J335" s="292">
        <f t="shared" si="127"/>
        <v>24</v>
      </c>
      <c r="K335" s="293">
        <f t="shared" si="119"/>
        <v>283</v>
      </c>
      <c r="L335" s="294">
        <f t="shared" si="120"/>
        <v>8583</v>
      </c>
      <c r="M335" s="295">
        <f t="shared" si="115"/>
        <v>0</v>
      </c>
      <c r="N335" s="295" t="e">
        <f t="shared" si="116"/>
        <v>#NUM!</v>
      </c>
      <c r="O335" s="295">
        <f t="shared" si="108"/>
        <v>0</v>
      </c>
      <c r="P335" s="295">
        <f t="shared" si="109"/>
        <v>0</v>
      </c>
      <c r="Q335" s="296">
        <f t="shared" si="110"/>
        <v>0</v>
      </c>
      <c r="S335" s="292">
        <f t="shared" si="128"/>
        <v>24</v>
      </c>
      <c r="T335" s="293">
        <f t="shared" si="121"/>
        <v>283</v>
      </c>
      <c r="U335" s="294">
        <f t="shared" si="122"/>
        <v>8583</v>
      </c>
      <c r="V335" s="295">
        <f t="shared" si="123"/>
        <v>0</v>
      </c>
      <c r="W335" s="290" t="e">
        <f t="shared" si="124"/>
        <v>#NUM!</v>
      </c>
      <c r="X335" s="295">
        <f t="shared" si="111"/>
        <v>0</v>
      </c>
      <c r="Y335" s="295" t="e">
        <f t="shared" si="112"/>
        <v>#NUM!</v>
      </c>
      <c r="Z335" s="295">
        <f t="shared" si="125"/>
        <v>0</v>
      </c>
      <c r="AA335" s="296"/>
      <c r="AC335"/>
      <c r="AD335"/>
      <c r="AE335"/>
      <c r="AF335"/>
      <c r="AG335"/>
      <c r="AH335"/>
      <c r="AI335"/>
      <c r="AJ335"/>
    </row>
    <row r="336" spans="1:36" hidden="1">
      <c r="A336" s="287">
        <f t="shared" si="126"/>
        <v>24</v>
      </c>
      <c r="B336" s="288">
        <f t="shared" si="117"/>
        <v>284</v>
      </c>
      <c r="C336" s="289">
        <f t="shared" si="118"/>
        <v>54667</v>
      </c>
      <c r="D336" s="290">
        <f t="shared" si="113"/>
        <v>1928606.3099851271</v>
      </c>
      <c r="E336" s="290">
        <f t="shared" si="114"/>
        <v>-30010.234142609712</v>
      </c>
      <c r="F336" s="290">
        <f t="shared" si="105"/>
        <v>-20768.995573930992</v>
      </c>
      <c r="G336" s="290">
        <f t="shared" si="106"/>
        <v>-9241.2385686787238</v>
      </c>
      <c r="H336" s="291">
        <f t="shared" si="107"/>
        <v>1907837.3144111962</v>
      </c>
      <c r="J336" s="287">
        <f t="shared" si="127"/>
        <v>24</v>
      </c>
      <c r="K336" s="288">
        <f t="shared" si="119"/>
        <v>284</v>
      </c>
      <c r="L336" s="289">
        <f t="shared" si="120"/>
        <v>8614</v>
      </c>
      <c r="M336" s="290">
        <f t="shared" si="115"/>
        <v>0</v>
      </c>
      <c r="N336" s="290" t="e">
        <f t="shared" si="116"/>
        <v>#NUM!</v>
      </c>
      <c r="O336" s="290">
        <f t="shared" si="108"/>
        <v>0</v>
      </c>
      <c r="P336" s="290">
        <f t="shared" si="109"/>
        <v>0</v>
      </c>
      <c r="Q336" s="291">
        <f t="shared" si="110"/>
        <v>0</v>
      </c>
      <c r="S336" s="287">
        <f t="shared" si="128"/>
        <v>24</v>
      </c>
      <c r="T336" s="288">
        <f t="shared" si="121"/>
        <v>284</v>
      </c>
      <c r="U336" s="289">
        <f t="shared" si="122"/>
        <v>8614</v>
      </c>
      <c r="V336" s="290">
        <f t="shared" si="123"/>
        <v>0</v>
      </c>
      <c r="W336" s="290" t="e">
        <f t="shared" si="124"/>
        <v>#NUM!</v>
      </c>
      <c r="X336" s="290">
        <f t="shared" si="111"/>
        <v>0</v>
      </c>
      <c r="Y336" s="290" t="e">
        <f t="shared" si="112"/>
        <v>#NUM!</v>
      </c>
      <c r="Z336" s="290">
        <f t="shared" si="125"/>
        <v>0</v>
      </c>
      <c r="AA336" s="291"/>
      <c r="AC336"/>
      <c r="AD336"/>
      <c r="AE336"/>
      <c r="AF336"/>
      <c r="AG336"/>
      <c r="AH336"/>
      <c r="AI336"/>
      <c r="AJ336"/>
    </row>
    <row r="337" spans="1:36" hidden="1">
      <c r="A337" s="292">
        <f t="shared" si="126"/>
        <v>24</v>
      </c>
      <c r="B337" s="293">
        <f t="shared" si="117"/>
        <v>285</v>
      </c>
      <c r="C337" s="294">
        <f t="shared" si="118"/>
        <v>54697</v>
      </c>
      <c r="D337" s="295">
        <f t="shared" si="113"/>
        <v>1907837.3144111962</v>
      </c>
      <c r="E337" s="295">
        <f t="shared" si="114"/>
        <v>-30010.234142609712</v>
      </c>
      <c r="F337" s="295">
        <f t="shared" si="105"/>
        <v>-20868.513677722745</v>
      </c>
      <c r="G337" s="295">
        <f t="shared" si="106"/>
        <v>-9141.720464886972</v>
      </c>
      <c r="H337" s="298">
        <f t="shared" si="107"/>
        <v>1886968.8007334734</v>
      </c>
      <c r="J337" s="292">
        <f t="shared" si="127"/>
        <v>24</v>
      </c>
      <c r="K337" s="293">
        <f t="shared" si="119"/>
        <v>285</v>
      </c>
      <c r="L337" s="294">
        <f t="shared" si="120"/>
        <v>8645</v>
      </c>
      <c r="M337" s="295">
        <f t="shared" si="115"/>
        <v>0</v>
      </c>
      <c r="N337" s="295" t="e">
        <f t="shared" si="116"/>
        <v>#NUM!</v>
      </c>
      <c r="O337" s="295">
        <f t="shared" si="108"/>
        <v>0</v>
      </c>
      <c r="P337" s="295">
        <f t="shared" si="109"/>
        <v>0</v>
      </c>
      <c r="Q337" s="298">
        <f t="shared" si="110"/>
        <v>0</v>
      </c>
      <c r="S337" s="292">
        <f t="shared" si="128"/>
        <v>24</v>
      </c>
      <c r="T337" s="293">
        <f t="shared" si="121"/>
        <v>285</v>
      </c>
      <c r="U337" s="294">
        <f t="shared" si="122"/>
        <v>8645</v>
      </c>
      <c r="V337" s="295">
        <f t="shared" si="123"/>
        <v>0</v>
      </c>
      <c r="W337" s="290" t="e">
        <f t="shared" si="124"/>
        <v>#NUM!</v>
      </c>
      <c r="X337" s="295">
        <f t="shared" si="111"/>
        <v>0</v>
      </c>
      <c r="Y337" s="295" t="e">
        <f t="shared" si="112"/>
        <v>#NUM!</v>
      </c>
      <c r="Z337" s="295">
        <f t="shared" si="125"/>
        <v>0</v>
      </c>
      <c r="AA337" s="298"/>
      <c r="AC337"/>
      <c r="AD337"/>
      <c r="AE337"/>
      <c r="AF337"/>
      <c r="AG337"/>
      <c r="AH337"/>
      <c r="AI337"/>
      <c r="AJ337"/>
    </row>
    <row r="338" spans="1:36" hidden="1">
      <c r="A338" s="287">
        <f t="shared" si="126"/>
        <v>24</v>
      </c>
      <c r="B338" s="288">
        <f t="shared" si="117"/>
        <v>286</v>
      </c>
      <c r="C338" s="289">
        <f t="shared" si="118"/>
        <v>54728</v>
      </c>
      <c r="D338" s="290">
        <f t="shared" si="113"/>
        <v>1886968.8007334734</v>
      </c>
      <c r="E338" s="290">
        <f t="shared" si="114"/>
        <v>-30010.234142609712</v>
      </c>
      <c r="F338" s="290">
        <f t="shared" si="105"/>
        <v>-20968.508639095162</v>
      </c>
      <c r="G338" s="290">
        <f t="shared" si="106"/>
        <v>-9041.7255035145517</v>
      </c>
      <c r="H338" s="291">
        <f t="shared" si="107"/>
        <v>1866000.2920943783</v>
      </c>
      <c r="J338" s="287">
        <f t="shared" si="127"/>
        <v>24</v>
      </c>
      <c r="K338" s="288">
        <f t="shared" si="119"/>
        <v>286</v>
      </c>
      <c r="L338" s="289">
        <f t="shared" si="120"/>
        <v>8675</v>
      </c>
      <c r="M338" s="290">
        <f t="shared" si="115"/>
        <v>0</v>
      </c>
      <c r="N338" s="290" t="e">
        <f t="shared" si="116"/>
        <v>#NUM!</v>
      </c>
      <c r="O338" s="290">
        <f t="shared" si="108"/>
        <v>0</v>
      </c>
      <c r="P338" s="290">
        <f t="shared" si="109"/>
        <v>0</v>
      </c>
      <c r="Q338" s="291">
        <f t="shared" si="110"/>
        <v>0</v>
      </c>
      <c r="S338" s="287">
        <f t="shared" si="128"/>
        <v>24</v>
      </c>
      <c r="T338" s="288">
        <f t="shared" si="121"/>
        <v>286</v>
      </c>
      <c r="U338" s="289">
        <f t="shared" si="122"/>
        <v>8675</v>
      </c>
      <c r="V338" s="290">
        <f t="shared" si="123"/>
        <v>0</v>
      </c>
      <c r="W338" s="290" t="e">
        <f t="shared" si="124"/>
        <v>#NUM!</v>
      </c>
      <c r="X338" s="290">
        <f t="shared" si="111"/>
        <v>0</v>
      </c>
      <c r="Y338" s="290" t="e">
        <f t="shared" si="112"/>
        <v>#NUM!</v>
      </c>
      <c r="Z338" s="290">
        <f t="shared" si="125"/>
        <v>0</v>
      </c>
      <c r="AA338" s="291"/>
      <c r="AC338"/>
      <c r="AD338"/>
      <c r="AE338"/>
      <c r="AF338"/>
      <c r="AG338"/>
      <c r="AH338"/>
      <c r="AI338"/>
      <c r="AJ338"/>
    </row>
    <row r="339" spans="1:36" hidden="1">
      <c r="A339" s="292">
        <f t="shared" si="126"/>
        <v>24</v>
      </c>
      <c r="B339" s="293">
        <f t="shared" si="117"/>
        <v>287</v>
      </c>
      <c r="C339" s="294">
        <f t="shared" si="118"/>
        <v>54758</v>
      </c>
      <c r="D339" s="295">
        <f t="shared" si="113"/>
        <v>1866000.2920943783</v>
      </c>
      <c r="E339" s="295">
        <f t="shared" si="114"/>
        <v>-30010.234142609712</v>
      </c>
      <c r="F339" s="295">
        <f t="shared" si="105"/>
        <v>-21068.982742990829</v>
      </c>
      <c r="G339" s="295">
        <f t="shared" si="106"/>
        <v>-8941.2513996188864</v>
      </c>
      <c r="H339" s="296">
        <f t="shared" si="107"/>
        <v>1844931.3093513874</v>
      </c>
      <c r="J339" s="292">
        <f t="shared" si="127"/>
        <v>24</v>
      </c>
      <c r="K339" s="293">
        <f t="shared" si="119"/>
        <v>287</v>
      </c>
      <c r="L339" s="294">
        <f t="shared" si="120"/>
        <v>8706</v>
      </c>
      <c r="M339" s="295">
        <f t="shared" si="115"/>
        <v>0</v>
      </c>
      <c r="N339" s="295" t="e">
        <f t="shared" si="116"/>
        <v>#NUM!</v>
      </c>
      <c r="O339" s="295">
        <f t="shared" si="108"/>
        <v>0</v>
      </c>
      <c r="P339" s="295">
        <f t="shared" si="109"/>
        <v>0</v>
      </c>
      <c r="Q339" s="296">
        <f t="shared" si="110"/>
        <v>0</v>
      </c>
      <c r="S339" s="292">
        <f t="shared" si="128"/>
        <v>24</v>
      </c>
      <c r="T339" s="293">
        <f t="shared" si="121"/>
        <v>287</v>
      </c>
      <c r="U339" s="294">
        <f t="shared" si="122"/>
        <v>8706</v>
      </c>
      <c r="V339" s="295">
        <f t="shared" si="123"/>
        <v>0</v>
      </c>
      <c r="W339" s="290" t="e">
        <f t="shared" si="124"/>
        <v>#NUM!</v>
      </c>
      <c r="X339" s="295">
        <f t="shared" si="111"/>
        <v>0</v>
      </c>
      <c r="Y339" s="295" t="e">
        <f t="shared" si="112"/>
        <v>#NUM!</v>
      </c>
      <c r="Z339" s="295">
        <f t="shared" si="125"/>
        <v>0</v>
      </c>
      <c r="AA339" s="296"/>
      <c r="AC339"/>
      <c r="AD339"/>
      <c r="AE339"/>
      <c r="AF339"/>
      <c r="AG339"/>
      <c r="AH339"/>
      <c r="AI339"/>
      <c r="AJ339"/>
    </row>
    <row r="340" spans="1:36" hidden="1">
      <c r="A340" s="287">
        <f t="shared" si="126"/>
        <v>24</v>
      </c>
      <c r="B340" s="288">
        <f t="shared" si="117"/>
        <v>288</v>
      </c>
      <c r="C340" s="289">
        <f t="shared" si="118"/>
        <v>54789</v>
      </c>
      <c r="D340" s="290">
        <f t="shared" si="113"/>
        <v>1844931.3093513874</v>
      </c>
      <c r="E340" s="290">
        <f t="shared" si="114"/>
        <v>-30010.234142609712</v>
      </c>
      <c r="F340" s="290">
        <f t="shared" si="105"/>
        <v>-21169.938285300996</v>
      </c>
      <c r="G340" s="290">
        <f t="shared" si="106"/>
        <v>-8840.2958573087217</v>
      </c>
      <c r="H340" s="291">
        <f t="shared" si="107"/>
        <v>1823761.3710660865</v>
      </c>
      <c r="J340" s="287">
        <f t="shared" si="127"/>
        <v>24</v>
      </c>
      <c r="K340" s="288">
        <f t="shared" si="119"/>
        <v>288</v>
      </c>
      <c r="L340" s="289">
        <f t="shared" si="120"/>
        <v>8736</v>
      </c>
      <c r="M340" s="290">
        <f t="shared" si="115"/>
        <v>0</v>
      </c>
      <c r="N340" s="290" t="e">
        <f t="shared" si="116"/>
        <v>#NUM!</v>
      </c>
      <c r="O340" s="290">
        <f t="shared" si="108"/>
        <v>0</v>
      </c>
      <c r="P340" s="290">
        <f t="shared" si="109"/>
        <v>0</v>
      </c>
      <c r="Q340" s="291">
        <f t="shared" si="110"/>
        <v>0</v>
      </c>
      <c r="S340" s="287">
        <f t="shared" si="128"/>
        <v>24</v>
      </c>
      <c r="T340" s="288">
        <f t="shared" si="121"/>
        <v>288</v>
      </c>
      <c r="U340" s="289">
        <f t="shared" si="122"/>
        <v>8736</v>
      </c>
      <c r="V340" s="290">
        <f t="shared" si="123"/>
        <v>0</v>
      </c>
      <c r="W340" s="290" t="e">
        <f t="shared" si="124"/>
        <v>#NUM!</v>
      </c>
      <c r="X340" s="290">
        <f t="shared" si="111"/>
        <v>0</v>
      </c>
      <c r="Y340" s="290" t="e">
        <f t="shared" si="112"/>
        <v>#NUM!</v>
      </c>
      <c r="Z340" s="290">
        <f t="shared" si="125"/>
        <v>0</v>
      </c>
      <c r="AA340" s="291"/>
      <c r="AC340"/>
      <c r="AD340"/>
      <c r="AE340"/>
      <c r="AF340"/>
      <c r="AG340"/>
      <c r="AH340"/>
      <c r="AI340"/>
      <c r="AJ340"/>
    </row>
    <row r="341" spans="1:36" hidden="1">
      <c r="A341" s="292">
        <f t="shared" si="126"/>
        <v>25</v>
      </c>
      <c r="B341" s="293">
        <f t="shared" si="117"/>
        <v>289</v>
      </c>
      <c r="C341" s="294">
        <f t="shared" si="118"/>
        <v>54820</v>
      </c>
      <c r="D341" s="295">
        <f t="shared" si="113"/>
        <v>1823761.3710660865</v>
      </c>
      <c r="E341" s="295">
        <f t="shared" si="114"/>
        <v>-30010.234142609712</v>
      </c>
      <c r="F341" s="295">
        <f t="shared" si="105"/>
        <v>-21271.37757291806</v>
      </c>
      <c r="G341" s="295">
        <f t="shared" si="106"/>
        <v>-8738.8565696916539</v>
      </c>
      <c r="H341" s="298">
        <f t="shared" si="107"/>
        <v>1802489.9934931684</v>
      </c>
      <c r="J341" s="292">
        <f t="shared" si="127"/>
        <v>25</v>
      </c>
      <c r="K341" s="293">
        <f t="shared" si="119"/>
        <v>289</v>
      </c>
      <c r="L341" s="294">
        <f t="shared" si="120"/>
        <v>8767</v>
      </c>
      <c r="M341" s="295">
        <f t="shared" si="115"/>
        <v>0</v>
      </c>
      <c r="N341" s="295" t="e">
        <f t="shared" si="116"/>
        <v>#NUM!</v>
      </c>
      <c r="O341" s="295">
        <f t="shared" si="108"/>
        <v>0</v>
      </c>
      <c r="P341" s="295">
        <f t="shared" si="109"/>
        <v>0</v>
      </c>
      <c r="Q341" s="298">
        <f t="shared" si="110"/>
        <v>0</v>
      </c>
      <c r="S341" s="292">
        <f t="shared" si="128"/>
        <v>25</v>
      </c>
      <c r="T341" s="293">
        <f t="shared" si="121"/>
        <v>289</v>
      </c>
      <c r="U341" s="294">
        <f t="shared" si="122"/>
        <v>8767</v>
      </c>
      <c r="V341" s="295">
        <f t="shared" si="123"/>
        <v>0</v>
      </c>
      <c r="W341" s="290" t="e">
        <f t="shared" si="124"/>
        <v>#NUM!</v>
      </c>
      <c r="X341" s="295">
        <f t="shared" si="111"/>
        <v>0</v>
      </c>
      <c r="Y341" s="295" t="e">
        <f t="shared" si="112"/>
        <v>#NUM!</v>
      </c>
      <c r="Z341" s="295">
        <f t="shared" si="125"/>
        <v>0</v>
      </c>
      <c r="AA341" s="298"/>
      <c r="AC341"/>
      <c r="AD341"/>
      <c r="AE341"/>
      <c r="AF341"/>
      <c r="AG341"/>
      <c r="AH341"/>
      <c r="AI341"/>
      <c r="AJ341"/>
    </row>
    <row r="342" spans="1:36" hidden="1">
      <c r="A342" s="287">
        <f t="shared" si="126"/>
        <v>25</v>
      </c>
      <c r="B342" s="288">
        <f t="shared" si="117"/>
        <v>290</v>
      </c>
      <c r="C342" s="289">
        <f t="shared" si="118"/>
        <v>54848</v>
      </c>
      <c r="D342" s="290">
        <f t="shared" si="113"/>
        <v>1802489.9934931684</v>
      </c>
      <c r="E342" s="290">
        <f t="shared" si="114"/>
        <v>-30010.234142609712</v>
      </c>
      <c r="F342" s="290">
        <f t="shared" si="105"/>
        <v>-21373.302923788291</v>
      </c>
      <c r="G342" s="290">
        <f t="shared" si="106"/>
        <v>-8636.9312188214208</v>
      </c>
      <c r="H342" s="291">
        <f t="shared" si="107"/>
        <v>1781116.6905693801</v>
      </c>
      <c r="J342" s="287">
        <f t="shared" si="127"/>
        <v>25</v>
      </c>
      <c r="K342" s="288">
        <f t="shared" si="119"/>
        <v>290</v>
      </c>
      <c r="L342" s="289">
        <f t="shared" si="120"/>
        <v>8798</v>
      </c>
      <c r="M342" s="290">
        <f t="shared" si="115"/>
        <v>0</v>
      </c>
      <c r="N342" s="290" t="e">
        <f t="shared" si="116"/>
        <v>#NUM!</v>
      </c>
      <c r="O342" s="290">
        <f t="shared" si="108"/>
        <v>0</v>
      </c>
      <c r="P342" s="290">
        <f t="shared" si="109"/>
        <v>0</v>
      </c>
      <c r="Q342" s="291">
        <f t="shared" si="110"/>
        <v>0</v>
      </c>
      <c r="S342" s="287">
        <f t="shared" si="128"/>
        <v>25</v>
      </c>
      <c r="T342" s="288">
        <f t="shared" si="121"/>
        <v>290</v>
      </c>
      <c r="U342" s="289">
        <f t="shared" si="122"/>
        <v>8798</v>
      </c>
      <c r="V342" s="290">
        <f t="shared" si="123"/>
        <v>0</v>
      </c>
      <c r="W342" s="290" t="e">
        <f t="shared" si="124"/>
        <v>#NUM!</v>
      </c>
      <c r="X342" s="290">
        <f t="shared" si="111"/>
        <v>0</v>
      </c>
      <c r="Y342" s="290" t="e">
        <f t="shared" si="112"/>
        <v>#NUM!</v>
      </c>
      <c r="Z342" s="290">
        <f t="shared" si="125"/>
        <v>0</v>
      </c>
      <c r="AA342" s="291"/>
      <c r="AC342"/>
      <c r="AD342"/>
      <c r="AE342"/>
      <c r="AF342"/>
      <c r="AG342"/>
      <c r="AH342"/>
      <c r="AI342"/>
      <c r="AJ342"/>
    </row>
    <row r="343" spans="1:36" hidden="1">
      <c r="A343" s="292">
        <f t="shared" si="126"/>
        <v>25</v>
      </c>
      <c r="B343" s="293">
        <f t="shared" si="117"/>
        <v>291</v>
      </c>
      <c r="C343" s="294">
        <f t="shared" si="118"/>
        <v>54879</v>
      </c>
      <c r="D343" s="295">
        <f t="shared" si="113"/>
        <v>1781116.6905693801</v>
      </c>
      <c r="E343" s="295">
        <f t="shared" si="114"/>
        <v>-30010.234142609712</v>
      </c>
      <c r="F343" s="295">
        <f t="shared" si="105"/>
        <v>-21475.716666964778</v>
      </c>
      <c r="G343" s="295">
        <f t="shared" si="106"/>
        <v>-8534.5174756449342</v>
      </c>
      <c r="H343" s="296">
        <f t="shared" si="107"/>
        <v>1759640.9739024153</v>
      </c>
      <c r="J343" s="292">
        <f t="shared" si="127"/>
        <v>25</v>
      </c>
      <c r="K343" s="293">
        <f t="shared" si="119"/>
        <v>291</v>
      </c>
      <c r="L343" s="294">
        <f t="shared" si="120"/>
        <v>8827</v>
      </c>
      <c r="M343" s="295">
        <f t="shared" si="115"/>
        <v>0</v>
      </c>
      <c r="N343" s="295" t="e">
        <f t="shared" si="116"/>
        <v>#NUM!</v>
      </c>
      <c r="O343" s="295">
        <f t="shared" si="108"/>
        <v>0</v>
      </c>
      <c r="P343" s="295">
        <f t="shared" si="109"/>
        <v>0</v>
      </c>
      <c r="Q343" s="296">
        <f t="shared" si="110"/>
        <v>0</v>
      </c>
      <c r="S343" s="292">
        <f t="shared" si="128"/>
        <v>25</v>
      </c>
      <c r="T343" s="293">
        <f t="shared" si="121"/>
        <v>291</v>
      </c>
      <c r="U343" s="294">
        <f t="shared" si="122"/>
        <v>8827</v>
      </c>
      <c r="V343" s="295">
        <f t="shared" si="123"/>
        <v>0</v>
      </c>
      <c r="W343" s="290" t="e">
        <f t="shared" si="124"/>
        <v>#NUM!</v>
      </c>
      <c r="X343" s="295">
        <f t="shared" si="111"/>
        <v>0</v>
      </c>
      <c r="Y343" s="295" t="e">
        <f t="shared" si="112"/>
        <v>#NUM!</v>
      </c>
      <c r="Z343" s="295">
        <f t="shared" si="125"/>
        <v>0</v>
      </c>
      <c r="AA343" s="296"/>
      <c r="AC343"/>
      <c r="AD343"/>
      <c r="AE343"/>
      <c r="AF343"/>
      <c r="AG343"/>
      <c r="AH343"/>
      <c r="AI343"/>
      <c r="AJ343"/>
    </row>
    <row r="344" spans="1:36" hidden="1">
      <c r="A344" s="287">
        <f t="shared" si="126"/>
        <v>25</v>
      </c>
      <c r="B344" s="288">
        <f t="shared" si="117"/>
        <v>292</v>
      </c>
      <c r="C344" s="289">
        <f t="shared" si="118"/>
        <v>54909</v>
      </c>
      <c r="D344" s="290">
        <f t="shared" si="113"/>
        <v>1759640.9739024153</v>
      </c>
      <c r="E344" s="290">
        <f t="shared" si="114"/>
        <v>-30010.234142609712</v>
      </c>
      <c r="F344" s="290">
        <f t="shared" si="105"/>
        <v>-21578.621142660646</v>
      </c>
      <c r="G344" s="290">
        <f t="shared" si="106"/>
        <v>-8431.6129999490622</v>
      </c>
      <c r="H344" s="291">
        <f t="shared" si="107"/>
        <v>1738062.3527597545</v>
      </c>
      <c r="J344" s="287">
        <f t="shared" si="127"/>
        <v>25</v>
      </c>
      <c r="K344" s="288">
        <f t="shared" si="119"/>
        <v>292</v>
      </c>
      <c r="L344" s="289">
        <f t="shared" si="120"/>
        <v>8858</v>
      </c>
      <c r="M344" s="290">
        <f t="shared" si="115"/>
        <v>0</v>
      </c>
      <c r="N344" s="290" t="e">
        <f t="shared" si="116"/>
        <v>#NUM!</v>
      </c>
      <c r="O344" s="290">
        <f t="shared" si="108"/>
        <v>0</v>
      </c>
      <c r="P344" s="290">
        <f t="shared" si="109"/>
        <v>0</v>
      </c>
      <c r="Q344" s="291">
        <f t="shared" si="110"/>
        <v>0</v>
      </c>
      <c r="S344" s="287">
        <f t="shared" si="128"/>
        <v>25</v>
      </c>
      <c r="T344" s="288">
        <f t="shared" si="121"/>
        <v>292</v>
      </c>
      <c r="U344" s="289">
        <f t="shared" si="122"/>
        <v>8858</v>
      </c>
      <c r="V344" s="290">
        <f t="shared" si="123"/>
        <v>0</v>
      </c>
      <c r="W344" s="290" t="e">
        <f t="shared" si="124"/>
        <v>#NUM!</v>
      </c>
      <c r="X344" s="290">
        <f t="shared" si="111"/>
        <v>0</v>
      </c>
      <c r="Y344" s="290" t="e">
        <f t="shared" si="112"/>
        <v>#NUM!</v>
      </c>
      <c r="Z344" s="290">
        <f t="shared" si="125"/>
        <v>0</v>
      </c>
      <c r="AA344" s="291"/>
      <c r="AC344"/>
      <c r="AD344"/>
      <c r="AE344"/>
      <c r="AF344"/>
      <c r="AG344"/>
      <c r="AH344"/>
      <c r="AI344"/>
      <c r="AJ344"/>
    </row>
    <row r="345" spans="1:36" hidden="1">
      <c r="A345" s="292">
        <f t="shared" si="126"/>
        <v>25</v>
      </c>
      <c r="B345" s="293">
        <f t="shared" si="117"/>
        <v>293</v>
      </c>
      <c r="C345" s="294">
        <f t="shared" si="118"/>
        <v>54940</v>
      </c>
      <c r="D345" s="295">
        <f t="shared" si="113"/>
        <v>1738062.3527597545</v>
      </c>
      <c r="E345" s="295">
        <f t="shared" si="114"/>
        <v>-30010.234142609712</v>
      </c>
      <c r="F345" s="295">
        <f t="shared" si="105"/>
        <v>-21682.018702302565</v>
      </c>
      <c r="G345" s="295">
        <f t="shared" si="106"/>
        <v>-8328.2154403071472</v>
      </c>
      <c r="H345" s="298">
        <f t="shared" si="107"/>
        <v>1716380.3340574519</v>
      </c>
      <c r="J345" s="292">
        <f t="shared" si="127"/>
        <v>25</v>
      </c>
      <c r="K345" s="293">
        <f t="shared" si="119"/>
        <v>293</v>
      </c>
      <c r="L345" s="294">
        <f t="shared" si="120"/>
        <v>8888</v>
      </c>
      <c r="M345" s="295">
        <f t="shared" si="115"/>
        <v>0</v>
      </c>
      <c r="N345" s="295" t="e">
        <f t="shared" si="116"/>
        <v>#NUM!</v>
      </c>
      <c r="O345" s="295">
        <f t="shared" si="108"/>
        <v>0</v>
      </c>
      <c r="P345" s="295">
        <f t="shared" si="109"/>
        <v>0</v>
      </c>
      <c r="Q345" s="298">
        <f t="shared" si="110"/>
        <v>0</v>
      </c>
      <c r="S345" s="292">
        <f t="shared" si="128"/>
        <v>25</v>
      </c>
      <c r="T345" s="293">
        <f t="shared" si="121"/>
        <v>293</v>
      </c>
      <c r="U345" s="294">
        <f t="shared" si="122"/>
        <v>8888</v>
      </c>
      <c r="V345" s="295">
        <f t="shared" si="123"/>
        <v>0</v>
      </c>
      <c r="W345" s="290" t="e">
        <f t="shared" si="124"/>
        <v>#NUM!</v>
      </c>
      <c r="X345" s="295">
        <f t="shared" si="111"/>
        <v>0</v>
      </c>
      <c r="Y345" s="295" t="e">
        <f t="shared" si="112"/>
        <v>#NUM!</v>
      </c>
      <c r="Z345" s="295">
        <f t="shared" si="125"/>
        <v>0</v>
      </c>
      <c r="AA345" s="298"/>
      <c r="AC345"/>
      <c r="AD345"/>
      <c r="AE345"/>
      <c r="AF345"/>
      <c r="AG345"/>
      <c r="AH345"/>
      <c r="AI345"/>
      <c r="AJ345"/>
    </row>
    <row r="346" spans="1:36" hidden="1">
      <c r="A346" s="287">
        <f t="shared" si="126"/>
        <v>25</v>
      </c>
      <c r="B346" s="288">
        <f t="shared" si="117"/>
        <v>294</v>
      </c>
      <c r="C346" s="289">
        <f t="shared" si="118"/>
        <v>54970</v>
      </c>
      <c r="D346" s="290">
        <f t="shared" si="113"/>
        <v>1716380.3340574519</v>
      </c>
      <c r="E346" s="290">
        <f t="shared" si="114"/>
        <v>-30010.234142609712</v>
      </c>
      <c r="F346" s="290">
        <f t="shared" si="105"/>
        <v>-21785.91170858443</v>
      </c>
      <c r="G346" s="290">
        <f t="shared" si="106"/>
        <v>-8224.32243402528</v>
      </c>
      <c r="H346" s="291">
        <f t="shared" si="107"/>
        <v>1694594.4223488674</v>
      </c>
      <c r="J346" s="287">
        <f t="shared" si="127"/>
        <v>25</v>
      </c>
      <c r="K346" s="288">
        <f t="shared" si="119"/>
        <v>294</v>
      </c>
      <c r="L346" s="289">
        <f t="shared" si="120"/>
        <v>8919</v>
      </c>
      <c r="M346" s="290">
        <f t="shared" si="115"/>
        <v>0</v>
      </c>
      <c r="N346" s="290" t="e">
        <f t="shared" si="116"/>
        <v>#NUM!</v>
      </c>
      <c r="O346" s="290">
        <f t="shared" si="108"/>
        <v>0</v>
      </c>
      <c r="P346" s="290">
        <f t="shared" si="109"/>
        <v>0</v>
      </c>
      <c r="Q346" s="291">
        <f t="shared" si="110"/>
        <v>0</v>
      </c>
      <c r="S346" s="287">
        <f t="shared" si="128"/>
        <v>25</v>
      </c>
      <c r="T346" s="288">
        <f t="shared" si="121"/>
        <v>294</v>
      </c>
      <c r="U346" s="289">
        <f t="shared" si="122"/>
        <v>8919</v>
      </c>
      <c r="V346" s="290">
        <f t="shared" si="123"/>
        <v>0</v>
      </c>
      <c r="W346" s="290" t="e">
        <f t="shared" si="124"/>
        <v>#NUM!</v>
      </c>
      <c r="X346" s="290">
        <f t="shared" si="111"/>
        <v>0</v>
      </c>
      <c r="Y346" s="290" t="e">
        <f t="shared" si="112"/>
        <v>#NUM!</v>
      </c>
      <c r="Z346" s="290">
        <f t="shared" si="125"/>
        <v>0</v>
      </c>
      <c r="AA346" s="291"/>
      <c r="AC346"/>
      <c r="AD346"/>
      <c r="AE346"/>
      <c r="AF346"/>
      <c r="AG346"/>
      <c r="AH346"/>
      <c r="AI346"/>
      <c r="AJ346"/>
    </row>
    <row r="347" spans="1:36" hidden="1">
      <c r="A347" s="292">
        <f t="shared" si="126"/>
        <v>25</v>
      </c>
      <c r="B347" s="293">
        <f t="shared" si="117"/>
        <v>295</v>
      </c>
      <c r="C347" s="294">
        <f t="shared" si="118"/>
        <v>55001</v>
      </c>
      <c r="D347" s="295">
        <f t="shared" si="113"/>
        <v>1694594.4223488674</v>
      </c>
      <c r="E347" s="295">
        <f t="shared" si="114"/>
        <v>-30010.234142609712</v>
      </c>
      <c r="F347" s="295">
        <f t="shared" si="105"/>
        <v>-21890.302535521398</v>
      </c>
      <c r="G347" s="295">
        <f t="shared" si="106"/>
        <v>-8119.9316070883124</v>
      </c>
      <c r="H347" s="296">
        <f t="shared" si="107"/>
        <v>1672704.1198133461</v>
      </c>
      <c r="J347" s="292">
        <f t="shared" si="127"/>
        <v>25</v>
      </c>
      <c r="K347" s="293">
        <f t="shared" si="119"/>
        <v>295</v>
      </c>
      <c r="L347" s="294">
        <f t="shared" si="120"/>
        <v>8949</v>
      </c>
      <c r="M347" s="295">
        <f t="shared" si="115"/>
        <v>0</v>
      </c>
      <c r="N347" s="295" t="e">
        <f t="shared" si="116"/>
        <v>#NUM!</v>
      </c>
      <c r="O347" s="295">
        <f t="shared" si="108"/>
        <v>0</v>
      </c>
      <c r="P347" s="295">
        <f t="shared" si="109"/>
        <v>0</v>
      </c>
      <c r="Q347" s="296">
        <f t="shared" si="110"/>
        <v>0</v>
      </c>
      <c r="S347" s="292">
        <f t="shared" si="128"/>
        <v>25</v>
      </c>
      <c r="T347" s="293">
        <f t="shared" si="121"/>
        <v>295</v>
      </c>
      <c r="U347" s="294">
        <f t="shared" si="122"/>
        <v>8949</v>
      </c>
      <c r="V347" s="295">
        <f t="shared" si="123"/>
        <v>0</v>
      </c>
      <c r="W347" s="290" t="e">
        <f t="shared" si="124"/>
        <v>#NUM!</v>
      </c>
      <c r="X347" s="295">
        <f t="shared" si="111"/>
        <v>0</v>
      </c>
      <c r="Y347" s="295" t="e">
        <f t="shared" si="112"/>
        <v>#NUM!</v>
      </c>
      <c r="Z347" s="295">
        <f t="shared" si="125"/>
        <v>0</v>
      </c>
      <c r="AA347" s="296"/>
      <c r="AC347"/>
      <c r="AD347"/>
      <c r="AE347"/>
      <c r="AF347"/>
      <c r="AG347"/>
      <c r="AH347"/>
      <c r="AI347"/>
      <c r="AJ347"/>
    </row>
    <row r="348" spans="1:36" hidden="1">
      <c r="A348" s="287">
        <f t="shared" si="126"/>
        <v>25</v>
      </c>
      <c r="B348" s="288">
        <f t="shared" si="117"/>
        <v>296</v>
      </c>
      <c r="C348" s="289">
        <f t="shared" si="118"/>
        <v>55032</v>
      </c>
      <c r="D348" s="290">
        <f t="shared" si="113"/>
        <v>1672704.1198133461</v>
      </c>
      <c r="E348" s="290">
        <f t="shared" si="114"/>
        <v>-30010.234142609712</v>
      </c>
      <c r="F348" s="290">
        <f t="shared" si="105"/>
        <v>-21995.193568504103</v>
      </c>
      <c r="G348" s="290">
        <f t="shared" si="106"/>
        <v>-8015.0405741056074</v>
      </c>
      <c r="H348" s="291">
        <f t="shared" si="107"/>
        <v>1650708.9262448419</v>
      </c>
      <c r="J348" s="287">
        <f t="shared" si="127"/>
        <v>25</v>
      </c>
      <c r="K348" s="288">
        <f t="shared" si="119"/>
        <v>296</v>
      </c>
      <c r="L348" s="289">
        <f t="shared" si="120"/>
        <v>8980</v>
      </c>
      <c r="M348" s="290">
        <f t="shared" si="115"/>
        <v>0</v>
      </c>
      <c r="N348" s="290" t="e">
        <f t="shared" si="116"/>
        <v>#NUM!</v>
      </c>
      <c r="O348" s="290">
        <f t="shared" si="108"/>
        <v>0</v>
      </c>
      <c r="P348" s="290">
        <f t="shared" si="109"/>
        <v>0</v>
      </c>
      <c r="Q348" s="291">
        <f t="shared" si="110"/>
        <v>0</v>
      </c>
      <c r="S348" s="287">
        <f t="shared" si="128"/>
        <v>25</v>
      </c>
      <c r="T348" s="288">
        <f t="shared" si="121"/>
        <v>296</v>
      </c>
      <c r="U348" s="289">
        <f t="shared" si="122"/>
        <v>8980</v>
      </c>
      <c r="V348" s="290">
        <f t="shared" si="123"/>
        <v>0</v>
      </c>
      <c r="W348" s="290" t="e">
        <f t="shared" si="124"/>
        <v>#NUM!</v>
      </c>
      <c r="X348" s="290">
        <f t="shared" si="111"/>
        <v>0</v>
      </c>
      <c r="Y348" s="290" t="e">
        <f t="shared" si="112"/>
        <v>#NUM!</v>
      </c>
      <c r="Z348" s="290">
        <f t="shared" si="125"/>
        <v>0</v>
      </c>
      <c r="AA348" s="291"/>
      <c r="AC348"/>
      <c r="AD348"/>
      <c r="AE348"/>
      <c r="AF348"/>
      <c r="AG348"/>
      <c r="AH348"/>
      <c r="AI348"/>
      <c r="AJ348"/>
    </row>
    <row r="349" spans="1:36" hidden="1">
      <c r="A349" s="292">
        <f t="shared" si="126"/>
        <v>25</v>
      </c>
      <c r="B349" s="293">
        <f t="shared" si="117"/>
        <v>297</v>
      </c>
      <c r="C349" s="294">
        <f t="shared" si="118"/>
        <v>55062</v>
      </c>
      <c r="D349" s="295">
        <f t="shared" si="113"/>
        <v>1650708.9262448419</v>
      </c>
      <c r="E349" s="295">
        <f t="shared" si="114"/>
        <v>-30010.234142609712</v>
      </c>
      <c r="F349" s="295">
        <f t="shared" si="105"/>
        <v>-22100.587204353185</v>
      </c>
      <c r="G349" s="295">
        <f t="shared" si="106"/>
        <v>-7909.6469382565238</v>
      </c>
      <c r="H349" s="298">
        <f t="shared" si="107"/>
        <v>1628608.3390404887</v>
      </c>
      <c r="J349" s="292">
        <f t="shared" si="127"/>
        <v>25</v>
      </c>
      <c r="K349" s="293">
        <f t="shared" si="119"/>
        <v>297</v>
      </c>
      <c r="L349" s="294">
        <f t="shared" si="120"/>
        <v>9011</v>
      </c>
      <c r="M349" s="295">
        <f t="shared" si="115"/>
        <v>0</v>
      </c>
      <c r="N349" s="295" t="e">
        <f t="shared" si="116"/>
        <v>#NUM!</v>
      </c>
      <c r="O349" s="295">
        <f t="shared" si="108"/>
        <v>0</v>
      </c>
      <c r="P349" s="295">
        <f t="shared" si="109"/>
        <v>0</v>
      </c>
      <c r="Q349" s="298">
        <f t="shared" si="110"/>
        <v>0</v>
      </c>
      <c r="S349" s="292">
        <f t="shared" si="128"/>
        <v>25</v>
      </c>
      <c r="T349" s="293">
        <f t="shared" si="121"/>
        <v>297</v>
      </c>
      <c r="U349" s="294">
        <f t="shared" si="122"/>
        <v>9011</v>
      </c>
      <c r="V349" s="295">
        <f t="shared" si="123"/>
        <v>0</v>
      </c>
      <c r="W349" s="290" t="e">
        <f t="shared" si="124"/>
        <v>#NUM!</v>
      </c>
      <c r="X349" s="295">
        <f t="shared" si="111"/>
        <v>0</v>
      </c>
      <c r="Y349" s="295" t="e">
        <f t="shared" si="112"/>
        <v>#NUM!</v>
      </c>
      <c r="Z349" s="295">
        <f t="shared" si="125"/>
        <v>0</v>
      </c>
      <c r="AA349" s="298"/>
      <c r="AC349"/>
      <c r="AD349"/>
      <c r="AE349"/>
      <c r="AF349"/>
      <c r="AG349"/>
      <c r="AH349"/>
      <c r="AI349"/>
      <c r="AJ349"/>
    </row>
    <row r="350" spans="1:36" hidden="1">
      <c r="A350" s="287">
        <f t="shared" si="126"/>
        <v>25</v>
      </c>
      <c r="B350" s="288">
        <f t="shared" si="117"/>
        <v>298</v>
      </c>
      <c r="C350" s="289">
        <f t="shared" si="118"/>
        <v>55093</v>
      </c>
      <c r="D350" s="290">
        <f t="shared" si="113"/>
        <v>1628608.3390404887</v>
      </c>
      <c r="E350" s="290">
        <f t="shared" si="114"/>
        <v>-30010.234142609712</v>
      </c>
      <c r="F350" s="290">
        <f t="shared" si="105"/>
        <v>-22206.485851374044</v>
      </c>
      <c r="G350" s="290">
        <f t="shared" si="106"/>
        <v>-7803.7482912356645</v>
      </c>
      <c r="H350" s="291">
        <f t="shared" si="107"/>
        <v>1606401.8531891147</v>
      </c>
      <c r="J350" s="287">
        <f t="shared" si="127"/>
        <v>25</v>
      </c>
      <c r="K350" s="288">
        <f t="shared" si="119"/>
        <v>298</v>
      </c>
      <c r="L350" s="289">
        <f t="shared" si="120"/>
        <v>9041</v>
      </c>
      <c r="M350" s="290">
        <f t="shared" si="115"/>
        <v>0</v>
      </c>
      <c r="N350" s="290" t="e">
        <f t="shared" si="116"/>
        <v>#NUM!</v>
      </c>
      <c r="O350" s="290">
        <f t="shared" si="108"/>
        <v>0</v>
      </c>
      <c r="P350" s="290">
        <f t="shared" si="109"/>
        <v>0</v>
      </c>
      <c r="Q350" s="291">
        <f t="shared" si="110"/>
        <v>0</v>
      </c>
      <c r="S350" s="287">
        <f t="shared" si="128"/>
        <v>25</v>
      </c>
      <c r="T350" s="288">
        <f t="shared" si="121"/>
        <v>298</v>
      </c>
      <c r="U350" s="289">
        <f t="shared" si="122"/>
        <v>9041</v>
      </c>
      <c r="V350" s="290">
        <f t="shared" si="123"/>
        <v>0</v>
      </c>
      <c r="W350" s="290" t="e">
        <f t="shared" si="124"/>
        <v>#NUM!</v>
      </c>
      <c r="X350" s="290">
        <f t="shared" si="111"/>
        <v>0</v>
      </c>
      <c r="Y350" s="290" t="e">
        <f t="shared" si="112"/>
        <v>#NUM!</v>
      </c>
      <c r="Z350" s="290">
        <f t="shared" si="125"/>
        <v>0</v>
      </c>
      <c r="AA350" s="291"/>
      <c r="AC350"/>
      <c r="AD350"/>
      <c r="AE350"/>
      <c r="AF350"/>
      <c r="AG350"/>
      <c r="AH350"/>
      <c r="AI350"/>
      <c r="AJ350"/>
    </row>
    <row r="351" spans="1:36" hidden="1">
      <c r="A351" s="292">
        <f t="shared" si="126"/>
        <v>25</v>
      </c>
      <c r="B351" s="293">
        <f t="shared" si="117"/>
        <v>299</v>
      </c>
      <c r="C351" s="294">
        <f t="shared" si="118"/>
        <v>55123</v>
      </c>
      <c r="D351" s="295">
        <f t="shared" si="113"/>
        <v>1606401.8531891147</v>
      </c>
      <c r="E351" s="295">
        <f t="shared" si="114"/>
        <v>-30010.234142609712</v>
      </c>
      <c r="F351" s="295">
        <f t="shared" si="105"/>
        <v>-22312.891929411882</v>
      </c>
      <c r="G351" s="295">
        <f t="shared" si="106"/>
        <v>-7697.3422131978323</v>
      </c>
      <c r="H351" s="296">
        <f t="shared" si="107"/>
        <v>1584088.9612597029</v>
      </c>
      <c r="J351" s="292">
        <f t="shared" si="127"/>
        <v>25</v>
      </c>
      <c r="K351" s="293">
        <f t="shared" si="119"/>
        <v>299</v>
      </c>
      <c r="L351" s="294">
        <f t="shared" si="120"/>
        <v>9072</v>
      </c>
      <c r="M351" s="295">
        <f t="shared" si="115"/>
        <v>0</v>
      </c>
      <c r="N351" s="295" t="e">
        <f t="shared" si="116"/>
        <v>#NUM!</v>
      </c>
      <c r="O351" s="295">
        <f t="shared" si="108"/>
        <v>0</v>
      </c>
      <c r="P351" s="295">
        <f t="shared" si="109"/>
        <v>0</v>
      </c>
      <c r="Q351" s="296">
        <f t="shared" si="110"/>
        <v>0</v>
      </c>
      <c r="S351" s="292">
        <f t="shared" si="128"/>
        <v>25</v>
      </c>
      <c r="T351" s="293">
        <f t="shared" si="121"/>
        <v>299</v>
      </c>
      <c r="U351" s="294">
        <f t="shared" si="122"/>
        <v>9072</v>
      </c>
      <c r="V351" s="295">
        <f t="shared" si="123"/>
        <v>0</v>
      </c>
      <c r="W351" s="290" t="e">
        <f t="shared" si="124"/>
        <v>#NUM!</v>
      </c>
      <c r="X351" s="295">
        <f t="shared" si="111"/>
        <v>0</v>
      </c>
      <c r="Y351" s="295" t="e">
        <f t="shared" si="112"/>
        <v>#NUM!</v>
      </c>
      <c r="Z351" s="295">
        <f t="shared" si="125"/>
        <v>0</v>
      </c>
      <c r="AA351" s="296"/>
      <c r="AC351"/>
      <c r="AD351"/>
      <c r="AE351"/>
      <c r="AF351"/>
      <c r="AG351"/>
      <c r="AH351"/>
      <c r="AI351"/>
      <c r="AJ351"/>
    </row>
    <row r="352" spans="1:36" hidden="1">
      <c r="A352" s="287">
        <f t="shared" si="126"/>
        <v>25</v>
      </c>
      <c r="B352" s="288">
        <f t="shared" si="117"/>
        <v>300</v>
      </c>
      <c r="C352" s="289">
        <f t="shared" si="118"/>
        <v>55154</v>
      </c>
      <c r="D352" s="290">
        <f t="shared" si="113"/>
        <v>1584088.9612597029</v>
      </c>
      <c r="E352" s="290">
        <f t="shared" si="114"/>
        <v>-30010.234142609712</v>
      </c>
      <c r="F352" s="290">
        <f t="shared" si="105"/>
        <v>-22419.807869906981</v>
      </c>
      <c r="G352" s="290">
        <f t="shared" si="106"/>
        <v>-7590.4262727027335</v>
      </c>
      <c r="H352" s="291">
        <f t="shared" si="107"/>
        <v>1561669.1533897959</v>
      </c>
      <c r="J352" s="287">
        <f t="shared" si="127"/>
        <v>25</v>
      </c>
      <c r="K352" s="288">
        <f t="shared" si="119"/>
        <v>300</v>
      </c>
      <c r="L352" s="289">
        <f t="shared" si="120"/>
        <v>9102</v>
      </c>
      <c r="M352" s="290">
        <f t="shared" si="115"/>
        <v>0</v>
      </c>
      <c r="N352" s="290" t="e">
        <f t="shared" si="116"/>
        <v>#NUM!</v>
      </c>
      <c r="O352" s="290">
        <f t="shared" si="108"/>
        <v>0</v>
      </c>
      <c r="P352" s="290">
        <f t="shared" si="109"/>
        <v>0</v>
      </c>
      <c r="Q352" s="291">
        <f t="shared" si="110"/>
        <v>0</v>
      </c>
      <c r="S352" s="287">
        <f t="shared" si="128"/>
        <v>25</v>
      </c>
      <c r="T352" s="288">
        <f t="shared" si="121"/>
        <v>300</v>
      </c>
      <c r="U352" s="289">
        <f t="shared" si="122"/>
        <v>9102</v>
      </c>
      <c r="V352" s="290">
        <f t="shared" si="123"/>
        <v>0</v>
      </c>
      <c r="W352" s="290" t="e">
        <f t="shared" si="124"/>
        <v>#NUM!</v>
      </c>
      <c r="X352" s="290">
        <f t="shared" si="111"/>
        <v>0</v>
      </c>
      <c r="Y352" s="290" t="e">
        <f t="shared" si="112"/>
        <v>#NUM!</v>
      </c>
      <c r="Z352" s="290">
        <f t="shared" si="125"/>
        <v>0</v>
      </c>
      <c r="AA352" s="291"/>
      <c r="AC352"/>
      <c r="AD352"/>
      <c r="AE352"/>
      <c r="AF352"/>
      <c r="AG352"/>
      <c r="AH352"/>
      <c r="AI352"/>
      <c r="AJ352"/>
    </row>
    <row r="353" spans="1:36" hidden="1">
      <c r="A353" s="292">
        <f>IF(H352&lt;1,0,A341+1)</f>
        <v>26</v>
      </c>
      <c r="B353" s="293">
        <f t="shared" si="117"/>
        <v>301</v>
      </c>
      <c r="C353" s="294">
        <f>IF(H352&lt;1,0,EDATE(C352,1))</f>
        <v>55185</v>
      </c>
      <c r="D353" s="295">
        <f t="shared" si="113"/>
        <v>1561669.1533897959</v>
      </c>
      <c r="E353" s="295">
        <f t="shared" si="114"/>
        <v>-30010.234142609712</v>
      </c>
      <c r="F353" s="295">
        <f t="shared" si="105"/>
        <v>-22527.236115950283</v>
      </c>
      <c r="G353" s="295">
        <f t="shared" si="106"/>
        <v>-7482.9980266594275</v>
      </c>
      <c r="H353" s="296">
        <f t="shared" si="107"/>
        <v>1539141.9172738455</v>
      </c>
      <c r="J353" s="292">
        <f>IF(Q352&lt;1,0,J341+1)</f>
        <v>0</v>
      </c>
      <c r="K353" s="293">
        <f t="shared" si="119"/>
        <v>301</v>
      </c>
      <c r="L353" s="294">
        <f>IF(Q352&lt;1,0,EDATE(L352,1))</f>
        <v>0</v>
      </c>
      <c r="M353" s="295">
        <f t="shared" si="115"/>
        <v>0</v>
      </c>
      <c r="N353" s="295" t="e">
        <f t="shared" si="116"/>
        <v>#NUM!</v>
      </c>
      <c r="O353" s="295">
        <f t="shared" si="108"/>
        <v>0</v>
      </c>
      <c r="P353" s="295">
        <f t="shared" si="109"/>
        <v>0</v>
      </c>
      <c r="Q353" s="296">
        <f t="shared" si="110"/>
        <v>0</v>
      </c>
      <c r="S353" s="292">
        <f>IF(Z352&lt;1,0,S341+1)</f>
        <v>0</v>
      </c>
      <c r="T353" s="293">
        <f t="shared" si="121"/>
        <v>301</v>
      </c>
      <c r="U353" s="294">
        <f>IF(Z352&lt;1,0,EDATE(U352,1))</f>
        <v>0</v>
      </c>
      <c r="V353" s="295">
        <f>IF(Z352&lt;1,0,Z352)</f>
        <v>0</v>
      </c>
      <c r="W353" s="290" t="e">
        <f t="shared" si="124"/>
        <v>#NUM!</v>
      </c>
      <c r="X353" s="295">
        <f t="shared" si="111"/>
        <v>0</v>
      </c>
      <c r="Y353" s="295" t="e">
        <f t="shared" si="112"/>
        <v>#NUM!</v>
      </c>
      <c r="Z353" s="295">
        <f t="shared" si="125"/>
        <v>0</v>
      </c>
      <c r="AA353" s="296"/>
      <c r="AC353"/>
      <c r="AD353"/>
      <c r="AE353"/>
      <c r="AF353"/>
      <c r="AG353"/>
      <c r="AH353"/>
      <c r="AI353"/>
      <c r="AJ353"/>
    </row>
    <row r="354" spans="1:36" hidden="1">
      <c r="A354" s="287">
        <f t="shared" ref="A354:A412" si="129">IF(H353&lt;1,0,A342+1)</f>
        <v>26</v>
      </c>
      <c r="B354" s="288">
        <f t="shared" si="117"/>
        <v>302</v>
      </c>
      <c r="C354" s="289">
        <f t="shared" ref="C354:C412" si="130">IF(H353&lt;1,0,EDATE(C353,1))</f>
        <v>55213</v>
      </c>
      <c r="D354" s="290">
        <f t="shared" si="113"/>
        <v>1539141.9172738455</v>
      </c>
      <c r="E354" s="290">
        <f t="shared" si="114"/>
        <v>-30010.234142609712</v>
      </c>
      <c r="F354" s="290">
        <f t="shared" si="105"/>
        <v>-22635.17912233921</v>
      </c>
      <c r="G354" s="290">
        <f t="shared" si="106"/>
        <v>-7375.0550202705008</v>
      </c>
      <c r="H354" s="291">
        <f t="shared" si="107"/>
        <v>1516506.7381515063</v>
      </c>
      <c r="J354" s="287">
        <f t="shared" ref="J354:J412" si="131">IF(Q353&lt;1,0,J342+1)</f>
        <v>0</v>
      </c>
      <c r="K354" s="288">
        <f t="shared" si="119"/>
        <v>0</v>
      </c>
      <c r="L354" s="289">
        <f t="shared" ref="L354:L412" si="132">IF(Q353&lt;1,0,EDATE(L353,1))</f>
        <v>0</v>
      </c>
      <c r="M354" s="290">
        <f t="shared" si="115"/>
        <v>0</v>
      </c>
      <c r="N354" s="290" t="e">
        <f t="shared" si="116"/>
        <v>#NUM!</v>
      </c>
      <c r="O354" s="290">
        <f t="shared" si="108"/>
        <v>0</v>
      </c>
      <c r="P354" s="290">
        <f t="shared" si="109"/>
        <v>0</v>
      </c>
      <c r="Q354" s="291">
        <f t="shared" si="110"/>
        <v>0</v>
      </c>
      <c r="S354" s="287">
        <f t="shared" ref="S354:S412" si="133">IF(Z353&lt;1,0,S342+1)</f>
        <v>0</v>
      </c>
      <c r="T354" s="288">
        <f t="shared" si="121"/>
        <v>0</v>
      </c>
      <c r="U354" s="289">
        <f t="shared" ref="U354:U412" si="134">IF(Z353&lt;1,0,EDATE(U353,1))</f>
        <v>0</v>
      </c>
      <c r="V354" s="290">
        <f t="shared" ref="V354:V412" si="135">IF(Z353&lt;1,0,Z353)</f>
        <v>0</v>
      </c>
      <c r="W354" s="290" t="e">
        <f t="shared" si="124"/>
        <v>#NUM!</v>
      </c>
      <c r="X354" s="290">
        <f t="shared" si="111"/>
        <v>0</v>
      </c>
      <c r="Y354" s="290" t="e">
        <f t="shared" si="112"/>
        <v>#NUM!</v>
      </c>
      <c r="Z354" s="290">
        <f t="shared" si="125"/>
        <v>0</v>
      </c>
      <c r="AA354" s="291"/>
      <c r="AC354"/>
      <c r="AD354"/>
      <c r="AE354"/>
      <c r="AF354"/>
      <c r="AG354"/>
      <c r="AH354"/>
      <c r="AI354"/>
      <c r="AJ354"/>
    </row>
    <row r="355" spans="1:36" hidden="1">
      <c r="A355" s="292">
        <f t="shared" si="129"/>
        <v>26</v>
      </c>
      <c r="B355" s="293">
        <f t="shared" si="117"/>
        <v>303</v>
      </c>
      <c r="C355" s="294">
        <f t="shared" si="130"/>
        <v>55244</v>
      </c>
      <c r="D355" s="295">
        <f t="shared" si="113"/>
        <v>1516506.7381515063</v>
      </c>
      <c r="E355" s="295">
        <f t="shared" si="114"/>
        <v>-30010.234142609712</v>
      </c>
      <c r="F355" s="295">
        <f t="shared" si="105"/>
        <v>-22743.639355633757</v>
      </c>
      <c r="G355" s="295">
        <f t="shared" si="106"/>
        <v>-7266.5947869759593</v>
      </c>
      <c r="H355" s="296">
        <f t="shared" si="107"/>
        <v>1493763.0987958726</v>
      </c>
      <c r="J355" s="292">
        <f t="shared" si="131"/>
        <v>0</v>
      </c>
      <c r="K355" s="293">
        <f t="shared" si="119"/>
        <v>0</v>
      </c>
      <c r="L355" s="294">
        <f t="shared" si="132"/>
        <v>0</v>
      </c>
      <c r="M355" s="295">
        <f t="shared" si="115"/>
        <v>0</v>
      </c>
      <c r="N355" s="295" t="e">
        <f t="shared" si="116"/>
        <v>#NUM!</v>
      </c>
      <c r="O355" s="295">
        <f t="shared" si="108"/>
        <v>0</v>
      </c>
      <c r="P355" s="295">
        <f t="shared" si="109"/>
        <v>0</v>
      </c>
      <c r="Q355" s="296">
        <f t="shared" si="110"/>
        <v>0</v>
      </c>
      <c r="S355" s="292">
        <f t="shared" si="133"/>
        <v>0</v>
      </c>
      <c r="T355" s="293">
        <f t="shared" si="121"/>
        <v>0</v>
      </c>
      <c r="U355" s="294">
        <f t="shared" si="134"/>
        <v>0</v>
      </c>
      <c r="V355" s="295">
        <f t="shared" si="135"/>
        <v>0</v>
      </c>
      <c r="W355" s="290" t="e">
        <f t="shared" si="124"/>
        <v>#NUM!</v>
      </c>
      <c r="X355" s="295">
        <f t="shared" si="111"/>
        <v>0</v>
      </c>
      <c r="Y355" s="295" t="e">
        <f t="shared" si="112"/>
        <v>#NUM!</v>
      </c>
      <c r="Z355" s="295">
        <f t="shared" si="125"/>
        <v>0</v>
      </c>
      <c r="AA355" s="296"/>
      <c r="AC355"/>
      <c r="AD355"/>
      <c r="AE355"/>
      <c r="AF355"/>
      <c r="AG355"/>
      <c r="AH355"/>
      <c r="AI355"/>
      <c r="AJ355"/>
    </row>
    <row r="356" spans="1:36" hidden="1">
      <c r="A356" s="287">
        <f t="shared" si="129"/>
        <v>26</v>
      </c>
      <c r="B356" s="288">
        <f t="shared" si="117"/>
        <v>304</v>
      </c>
      <c r="C356" s="289">
        <f t="shared" si="130"/>
        <v>55274</v>
      </c>
      <c r="D356" s="290">
        <f t="shared" si="113"/>
        <v>1493763.0987958726</v>
      </c>
      <c r="E356" s="290">
        <f t="shared" si="114"/>
        <v>-30010.234142609712</v>
      </c>
      <c r="F356" s="290">
        <f t="shared" si="105"/>
        <v>-22852.619294212833</v>
      </c>
      <c r="G356" s="290">
        <f t="shared" si="106"/>
        <v>-7157.6148483968818</v>
      </c>
      <c r="H356" s="291">
        <f t="shared" si="107"/>
        <v>1470910.4795016597</v>
      </c>
      <c r="J356" s="287">
        <f t="shared" si="131"/>
        <v>0</v>
      </c>
      <c r="K356" s="288">
        <f t="shared" si="119"/>
        <v>0</v>
      </c>
      <c r="L356" s="289">
        <f t="shared" si="132"/>
        <v>0</v>
      </c>
      <c r="M356" s="290">
        <f t="shared" si="115"/>
        <v>0</v>
      </c>
      <c r="N356" s="290" t="e">
        <f t="shared" si="116"/>
        <v>#NUM!</v>
      </c>
      <c r="O356" s="290">
        <f t="shared" si="108"/>
        <v>0</v>
      </c>
      <c r="P356" s="290">
        <f t="shared" si="109"/>
        <v>0</v>
      </c>
      <c r="Q356" s="291">
        <f t="shared" si="110"/>
        <v>0</v>
      </c>
      <c r="S356" s="287">
        <f t="shared" si="133"/>
        <v>0</v>
      </c>
      <c r="T356" s="288">
        <f t="shared" si="121"/>
        <v>0</v>
      </c>
      <c r="U356" s="289">
        <f t="shared" si="134"/>
        <v>0</v>
      </c>
      <c r="V356" s="290">
        <f t="shared" si="135"/>
        <v>0</v>
      </c>
      <c r="W356" s="290" t="e">
        <f t="shared" si="124"/>
        <v>#NUM!</v>
      </c>
      <c r="X356" s="290">
        <f t="shared" si="111"/>
        <v>0</v>
      </c>
      <c r="Y356" s="290" t="e">
        <f t="shared" si="112"/>
        <v>#NUM!</v>
      </c>
      <c r="Z356" s="290">
        <f t="shared" si="125"/>
        <v>0</v>
      </c>
      <c r="AA356" s="291"/>
      <c r="AC356"/>
      <c r="AD356"/>
      <c r="AE356"/>
      <c r="AF356"/>
      <c r="AG356"/>
      <c r="AH356"/>
      <c r="AI356"/>
      <c r="AJ356"/>
    </row>
    <row r="357" spans="1:36" hidden="1">
      <c r="A357" s="292">
        <f t="shared" si="129"/>
        <v>26</v>
      </c>
      <c r="B357" s="293">
        <f t="shared" si="117"/>
        <v>305</v>
      </c>
      <c r="C357" s="294">
        <f t="shared" si="130"/>
        <v>55305</v>
      </c>
      <c r="D357" s="295">
        <f t="shared" si="113"/>
        <v>1470910.4795016597</v>
      </c>
      <c r="E357" s="295">
        <f t="shared" si="114"/>
        <v>-30010.234142609712</v>
      </c>
      <c r="F357" s="295">
        <f t="shared" si="105"/>
        <v>-22962.121428330938</v>
      </c>
      <c r="G357" s="295">
        <f t="shared" si="106"/>
        <v>-7048.1127142787755</v>
      </c>
      <c r="H357" s="296">
        <f t="shared" si="107"/>
        <v>1447948.3580733289</v>
      </c>
      <c r="J357" s="292">
        <f t="shared" si="131"/>
        <v>0</v>
      </c>
      <c r="K357" s="293">
        <f t="shared" si="119"/>
        <v>0</v>
      </c>
      <c r="L357" s="294">
        <f t="shared" si="132"/>
        <v>0</v>
      </c>
      <c r="M357" s="295">
        <f t="shared" si="115"/>
        <v>0</v>
      </c>
      <c r="N357" s="295" t="e">
        <f t="shared" si="116"/>
        <v>#NUM!</v>
      </c>
      <c r="O357" s="295">
        <f t="shared" si="108"/>
        <v>0</v>
      </c>
      <c r="P357" s="295">
        <f t="shared" si="109"/>
        <v>0</v>
      </c>
      <c r="Q357" s="296">
        <f t="shared" si="110"/>
        <v>0</v>
      </c>
      <c r="S357" s="292">
        <f t="shared" si="133"/>
        <v>0</v>
      </c>
      <c r="T357" s="293">
        <f t="shared" si="121"/>
        <v>0</v>
      </c>
      <c r="U357" s="294">
        <f t="shared" si="134"/>
        <v>0</v>
      </c>
      <c r="V357" s="295">
        <f t="shared" si="135"/>
        <v>0</v>
      </c>
      <c r="W357" s="290" t="e">
        <f t="shared" si="124"/>
        <v>#NUM!</v>
      </c>
      <c r="X357" s="295">
        <f t="shared" si="111"/>
        <v>0</v>
      </c>
      <c r="Y357" s="295" t="e">
        <f t="shared" si="112"/>
        <v>#NUM!</v>
      </c>
      <c r="Z357" s="295">
        <f t="shared" si="125"/>
        <v>0</v>
      </c>
      <c r="AA357" s="296"/>
      <c r="AC357"/>
      <c r="AD357"/>
      <c r="AE357"/>
      <c r="AF357"/>
      <c r="AG357"/>
      <c r="AH357"/>
      <c r="AI357"/>
      <c r="AJ357"/>
    </row>
    <row r="358" spans="1:36" hidden="1">
      <c r="A358" s="287">
        <f t="shared" si="129"/>
        <v>26</v>
      </c>
      <c r="B358" s="288">
        <f t="shared" si="117"/>
        <v>306</v>
      </c>
      <c r="C358" s="289">
        <f t="shared" si="130"/>
        <v>55335</v>
      </c>
      <c r="D358" s="290">
        <f t="shared" si="113"/>
        <v>1447948.3580733289</v>
      </c>
      <c r="E358" s="290">
        <f t="shared" si="114"/>
        <v>-30010.234142609712</v>
      </c>
      <c r="F358" s="290">
        <f t="shared" si="105"/>
        <v>-23072.148260175021</v>
      </c>
      <c r="G358" s="290">
        <f t="shared" si="106"/>
        <v>-6938.0858824346915</v>
      </c>
      <c r="H358" s="291">
        <f t="shared" si="107"/>
        <v>1424876.2098131538</v>
      </c>
      <c r="J358" s="287">
        <f t="shared" si="131"/>
        <v>0</v>
      </c>
      <c r="K358" s="288">
        <f t="shared" si="119"/>
        <v>0</v>
      </c>
      <c r="L358" s="289">
        <f t="shared" si="132"/>
        <v>0</v>
      </c>
      <c r="M358" s="290">
        <f t="shared" si="115"/>
        <v>0</v>
      </c>
      <c r="N358" s="290" t="e">
        <f t="shared" si="116"/>
        <v>#NUM!</v>
      </c>
      <c r="O358" s="290">
        <f t="shared" si="108"/>
        <v>0</v>
      </c>
      <c r="P358" s="290">
        <f t="shared" si="109"/>
        <v>0</v>
      </c>
      <c r="Q358" s="291">
        <f t="shared" si="110"/>
        <v>0</v>
      </c>
      <c r="S358" s="287">
        <f t="shared" si="133"/>
        <v>0</v>
      </c>
      <c r="T358" s="288">
        <f t="shared" si="121"/>
        <v>0</v>
      </c>
      <c r="U358" s="289">
        <f t="shared" si="134"/>
        <v>0</v>
      </c>
      <c r="V358" s="290">
        <f t="shared" si="135"/>
        <v>0</v>
      </c>
      <c r="W358" s="290" t="e">
        <f t="shared" si="124"/>
        <v>#NUM!</v>
      </c>
      <c r="X358" s="290">
        <f t="shared" si="111"/>
        <v>0</v>
      </c>
      <c r="Y358" s="290" t="e">
        <f t="shared" si="112"/>
        <v>#NUM!</v>
      </c>
      <c r="Z358" s="290">
        <f t="shared" si="125"/>
        <v>0</v>
      </c>
      <c r="AA358" s="291"/>
      <c r="AC358"/>
      <c r="AD358"/>
      <c r="AE358"/>
      <c r="AF358"/>
      <c r="AG358"/>
      <c r="AH358"/>
      <c r="AI358"/>
      <c r="AJ358"/>
    </row>
    <row r="359" spans="1:36" hidden="1">
      <c r="A359" s="292">
        <f t="shared" si="129"/>
        <v>26</v>
      </c>
      <c r="B359" s="293">
        <f t="shared" si="117"/>
        <v>307</v>
      </c>
      <c r="C359" s="294">
        <f t="shared" si="130"/>
        <v>55366</v>
      </c>
      <c r="D359" s="295">
        <f t="shared" si="113"/>
        <v>1424876.2098131538</v>
      </c>
      <c r="E359" s="295">
        <f t="shared" si="114"/>
        <v>-30010.234142609712</v>
      </c>
      <c r="F359" s="295">
        <f t="shared" si="105"/>
        <v>-23182.702303921695</v>
      </c>
      <c r="G359" s="295">
        <f t="shared" si="106"/>
        <v>-6827.5318386880199</v>
      </c>
      <c r="H359" s="296">
        <f t="shared" si="107"/>
        <v>1401693.507509232</v>
      </c>
      <c r="J359" s="292">
        <f t="shared" si="131"/>
        <v>0</v>
      </c>
      <c r="K359" s="293">
        <f t="shared" si="119"/>
        <v>0</v>
      </c>
      <c r="L359" s="294">
        <f t="shared" si="132"/>
        <v>0</v>
      </c>
      <c r="M359" s="295">
        <f t="shared" si="115"/>
        <v>0</v>
      </c>
      <c r="N359" s="295" t="e">
        <f t="shared" si="116"/>
        <v>#NUM!</v>
      </c>
      <c r="O359" s="295">
        <f t="shared" si="108"/>
        <v>0</v>
      </c>
      <c r="P359" s="295">
        <f t="shared" si="109"/>
        <v>0</v>
      </c>
      <c r="Q359" s="296">
        <f t="shared" si="110"/>
        <v>0</v>
      </c>
      <c r="S359" s="292">
        <f t="shared" si="133"/>
        <v>0</v>
      </c>
      <c r="T359" s="293">
        <f t="shared" si="121"/>
        <v>0</v>
      </c>
      <c r="U359" s="294">
        <f t="shared" si="134"/>
        <v>0</v>
      </c>
      <c r="V359" s="295">
        <f t="shared" si="135"/>
        <v>0</v>
      </c>
      <c r="W359" s="290" t="e">
        <f t="shared" si="124"/>
        <v>#NUM!</v>
      </c>
      <c r="X359" s="295">
        <f t="shared" si="111"/>
        <v>0</v>
      </c>
      <c r="Y359" s="295" t="e">
        <f t="shared" si="112"/>
        <v>#NUM!</v>
      </c>
      <c r="Z359" s="295">
        <f t="shared" si="125"/>
        <v>0</v>
      </c>
      <c r="AA359" s="296"/>
      <c r="AC359"/>
      <c r="AD359"/>
      <c r="AE359"/>
      <c r="AF359"/>
      <c r="AG359"/>
      <c r="AH359"/>
      <c r="AI359"/>
      <c r="AJ359"/>
    </row>
    <row r="360" spans="1:36" hidden="1">
      <c r="A360" s="287">
        <f t="shared" si="129"/>
        <v>26</v>
      </c>
      <c r="B360" s="288">
        <f t="shared" si="117"/>
        <v>308</v>
      </c>
      <c r="C360" s="289">
        <f t="shared" si="130"/>
        <v>55397</v>
      </c>
      <c r="D360" s="290">
        <f t="shared" si="113"/>
        <v>1401693.507509232</v>
      </c>
      <c r="E360" s="290">
        <f t="shared" si="114"/>
        <v>-30010.234142609712</v>
      </c>
      <c r="F360" s="290">
        <f t="shared" si="105"/>
        <v>-23293.786085794647</v>
      </c>
      <c r="G360" s="290">
        <f t="shared" si="106"/>
        <v>-6716.4480568150611</v>
      </c>
      <c r="H360" s="291">
        <f t="shared" si="107"/>
        <v>1378399.7214234374</v>
      </c>
      <c r="J360" s="287">
        <f t="shared" si="131"/>
        <v>0</v>
      </c>
      <c r="K360" s="288">
        <f t="shared" si="119"/>
        <v>0</v>
      </c>
      <c r="L360" s="289">
        <f t="shared" si="132"/>
        <v>0</v>
      </c>
      <c r="M360" s="290">
        <f t="shared" si="115"/>
        <v>0</v>
      </c>
      <c r="N360" s="290" t="e">
        <f t="shared" si="116"/>
        <v>#NUM!</v>
      </c>
      <c r="O360" s="290">
        <f t="shared" si="108"/>
        <v>0</v>
      </c>
      <c r="P360" s="290">
        <f t="shared" si="109"/>
        <v>0</v>
      </c>
      <c r="Q360" s="291">
        <f t="shared" si="110"/>
        <v>0</v>
      </c>
      <c r="S360" s="287">
        <f t="shared" si="133"/>
        <v>0</v>
      </c>
      <c r="T360" s="288">
        <f t="shared" si="121"/>
        <v>0</v>
      </c>
      <c r="U360" s="289">
        <f t="shared" si="134"/>
        <v>0</v>
      </c>
      <c r="V360" s="290">
        <f t="shared" si="135"/>
        <v>0</v>
      </c>
      <c r="W360" s="290" t="e">
        <f t="shared" si="124"/>
        <v>#NUM!</v>
      </c>
      <c r="X360" s="290">
        <f t="shared" si="111"/>
        <v>0</v>
      </c>
      <c r="Y360" s="290" t="e">
        <f t="shared" si="112"/>
        <v>#NUM!</v>
      </c>
      <c r="Z360" s="290">
        <f t="shared" si="125"/>
        <v>0</v>
      </c>
      <c r="AA360" s="291"/>
      <c r="AC360"/>
      <c r="AD360"/>
      <c r="AE360"/>
      <c r="AF360"/>
      <c r="AG360"/>
      <c r="AH360"/>
      <c r="AI360"/>
      <c r="AJ360"/>
    </row>
    <row r="361" spans="1:36" hidden="1">
      <c r="A361" s="292">
        <f t="shared" si="129"/>
        <v>26</v>
      </c>
      <c r="B361" s="293">
        <f t="shared" si="117"/>
        <v>309</v>
      </c>
      <c r="C361" s="294">
        <f t="shared" si="130"/>
        <v>55427</v>
      </c>
      <c r="D361" s="295">
        <f t="shared" si="113"/>
        <v>1378399.7214234374</v>
      </c>
      <c r="E361" s="295">
        <f t="shared" si="114"/>
        <v>-30010.234142609712</v>
      </c>
      <c r="F361" s="295">
        <f t="shared" si="105"/>
        <v>-23405.402144122421</v>
      </c>
      <c r="G361" s="295">
        <f t="shared" si="106"/>
        <v>-6604.8319984872942</v>
      </c>
      <c r="H361" s="296">
        <f t="shared" si="107"/>
        <v>1354994.319279315</v>
      </c>
      <c r="J361" s="292">
        <f t="shared" si="131"/>
        <v>0</v>
      </c>
      <c r="K361" s="293">
        <f t="shared" si="119"/>
        <v>0</v>
      </c>
      <c r="L361" s="294">
        <f t="shared" si="132"/>
        <v>0</v>
      </c>
      <c r="M361" s="295">
        <f t="shared" si="115"/>
        <v>0</v>
      </c>
      <c r="N361" s="295" t="e">
        <f t="shared" si="116"/>
        <v>#NUM!</v>
      </c>
      <c r="O361" s="295">
        <f t="shared" si="108"/>
        <v>0</v>
      </c>
      <c r="P361" s="295">
        <f t="shared" si="109"/>
        <v>0</v>
      </c>
      <c r="Q361" s="296">
        <f t="shared" si="110"/>
        <v>0</v>
      </c>
      <c r="S361" s="292">
        <f t="shared" si="133"/>
        <v>0</v>
      </c>
      <c r="T361" s="293">
        <f t="shared" si="121"/>
        <v>0</v>
      </c>
      <c r="U361" s="294">
        <f t="shared" si="134"/>
        <v>0</v>
      </c>
      <c r="V361" s="295">
        <f t="shared" si="135"/>
        <v>0</v>
      </c>
      <c r="W361" s="290" t="e">
        <f t="shared" si="124"/>
        <v>#NUM!</v>
      </c>
      <c r="X361" s="295">
        <f t="shared" si="111"/>
        <v>0</v>
      </c>
      <c r="Y361" s="295" t="e">
        <f t="shared" si="112"/>
        <v>#NUM!</v>
      </c>
      <c r="Z361" s="295">
        <f t="shared" si="125"/>
        <v>0</v>
      </c>
      <c r="AA361" s="296"/>
      <c r="AC361"/>
      <c r="AD361"/>
      <c r="AE361"/>
      <c r="AF361"/>
      <c r="AG361"/>
      <c r="AH361"/>
      <c r="AI361"/>
      <c r="AJ361"/>
    </row>
    <row r="362" spans="1:36" hidden="1">
      <c r="A362" s="287">
        <f t="shared" si="129"/>
        <v>26</v>
      </c>
      <c r="B362" s="288">
        <f t="shared" si="117"/>
        <v>310</v>
      </c>
      <c r="C362" s="289">
        <f t="shared" si="130"/>
        <v>55458</v>
      </c>
      <c r="D362" s="290">
        <f t="shared" si="113"/>
        <v>1354994.319279315</v>
      </c>
      <c r="E362" s="290">
        <f t="shared" si="114"/>
        <v>-30010.234142609712</v>
      </c>
      <c r="F362" s="290">
        <f t="shared" si="105"/>
        <v>-23517.553029396338</v>
      </c>
      <c r="G362" s="290">
        <f t="shared" si="106"/>
        <v>-6492.6811132133762</v>
      </c>
      <c r="H362" s="291">
        <f t="shared" si="107"/>
        <v>1331476.7662499186</v>
      </c>
      <c r="J362" s="287">
        <f t="shared" si="131"/>
        <v>0</v>
      </c>
      <c r="K362" s="288">
        <f t="shared" si="119"/>
        <v>0</v>
      </c>
      <c r="L362" s="289">
        <f t="shared" si="132"/>
        <v>0</v>
      </c>
      <c r="M362" s="290">
        <f t="shared" si="115"/>
        <v>0</v>
      </c>
      <c r="N362" s="290" t="e">
        <f t="shared" si="116"/>
        <v>#NUM!</v>
      </c>
      <c r="O362" s="290">
        <f t="shared" si="108"/>
        <v>0</v>
      </c>
      <c r="P362" s="290">
        <f t="shared" si="109"/>
        <v>0</v>
      </c>
      <c r="Q362" s="291">
        <f t="shared" si="110"/>
        <v>0</v>
      </c>
      <c r="S362" s="287">
        <f t="shared" si="133"/>
        <v>0</v>
      </c>
      <c r="T362" s="288">
        <f t="shared" si="121"/>
        <v>0</v>
      </c>
      <c r="U362" s="289">
        <f t="shared" si="134"/>
        <v>0</v>
      </c>
      <c r="V362" s="290">
        <f t="shared" si="135"/>
        <v>0</v>
      </c>
      <c r="W362" s="290" t="e">
        <f t="shared" si="124"/>
        <v>#NUM!</v>
      </c>
      <c r="X362" s="290">
        <f t="shared" si="111"/>
        <v>0</v>
      </c>
      <c r="Y362" s="290" t="e">
        <f t="shared" si="112"/>
        <v>#NUM!</v>
      </c>
      <c r="Z362" s="290">
        <f t="shared" si="125"/>
        <v>0</v>
      </c>
      <c r="AA362" s="291"/>
      <c r="AC362"/>
      <c r="AD362"/>
      <c r="AE362"/>
      <c r="AF362"/>
      <c r="AG362"/>
      <c r="AH362"/>
      <c r="AI362"/>
      <c r="AJ362"/>
    </row>
    <row r="363" spans="1:36" hidden="1">
      <c r="A363" s="292">
        <f t="shared" si="129"/>
        <v>26</v>
      </c>
      <c r="B363" s="293">
        <f t="shared" si="117"/>
        <v>311</v>
      </c>
      <c r="C363" s="294">
        <f t="shared" si="130"/>
        <v>55488</v>
      </c>
      <c r="D363" s="295">
        <f t="shared" si="113"/>
        <v>1331476.7662499186</v>
      </c>
      <c r="E363" s="295">
        <f t="shared" si="114"/>
        <v>-30010.234142609712</v>
      </c>
      <c r="F363" s="295">
        <f t="shared" si="105"/>
        <v>-23630.241304328862</v>
      </c>
      <c r="G363" s="295">
        <f t="shared" si="106"/>
        <v>-6379.9928382808503</v>
      </c>
      <c r="H363" s="296">
        <f t="shared" si="107"/>
        <v>1307846.5249455897</v>
      </c>
      <c r="J363" s="292">
        <f t="shared" si="131"/>
        <v>0</v>
      </c>
      <c r="K363" s="293">
        <f t="shared" si="119"/>
        <v>0</v>
      </c>
      <c r="L363" s="294">
        <f t="shared" si="132"/>
        <v>0</v>
      </c>
      <c r="M363" s="295">
        <f t="shared" si="115"/>
        <v>0</v>
      </c>
      <c r="N363" s="295" t="e">
        <f t="shared" si="116"/>
        <v>#NUM!</v>
      </c>
      <c r="O363" s="295">
        <f t="shared" si="108"/>
        <v>0</v>
      </c>
      <c r="P363" s="295">
        <f t="shared" si="109"/>
        <v>0</v>
      </c>
      <c r="Q363" s="296">
        <f t="shared" si="110"/>
        <v>0</v>
      </c>
      <c r="S363" s="292">
        <f t="shared" si="133"/>
        <v>0</v>
      </c>
      <c r="T363" s="293">
        <f t="shared" si="121"/>
        <v>0</v>
      </c>
      <c r="U363" s="294">
        <f t="shared" si="134"/>
        <v>0</v>
      </c>
      <c r="V363" s="295">
        <f t="shared" si="135"/>
        <v>0</v>
      </c>
      <c r="W363" s="290" t="e">
        <f t="shared" si="124"/>
        <v>#NUM!</v>
      </c>
      <c r="X363" s="295">
        <f t="shared" si="111"/>
        <v>0</v>
      </c>
      <c r="Y363" s="295" t="e">
        <f t="shared" si="112"/>
        <v>#NUM!</v>
      </c>
      <c r="Z363" s="295">
        <f t="shared" si="125"/>
        <v>0</v>
      </c>
      <c r="AA363" s="296"/>
      <c r="AC363"/>
      <c r="AD363"/>
      <c r="AE363"/>
      <c r="AF363"/>
      <c r="AG363"/>
      <c r="AH363"/>
      <c r="AI363"/>
      <c r="AJ363"/>
    </row>
    <row r="364" spans="1:36" hidden="1">
      <c r="A364" s="287">
        <f t="shared" si="129"/>
        <v>26</v>
      </c>
      <c r="B364" s="288">
        <f t="shared" si="117"/>
        <v>312</v>
      </c>
      <c r="C364" s="289">
        <f t="shared" si="130"/>
        <v>55519</v>
      </c>
      <c r="D364" s="290">
        <f t="shared" si="113"/>
        <v>1307846.5249455897</v>
      </c>
      <c r="E364" s="290">
        <f t="shared" si="114"/>
        <v>-30010.234142609712</v>
      </c>
      <c r="F364" s="290">
        <f t="shared" si="105"/>
        <v>-23743.469543912102</v>
      </c>
      <c r="G364" s="290">
        <f t="shared" si="106"/>
        <v>-6266.7645986976077</v>
      </c>
      <c r="H364" s="291">
        <f t="shared" si="107"/>
        <v>1284103.0554016775</v>
      </c>
      <c r="J364" s="287">
        <f t="shared" si="131"/>
        <v>0</v>
      </c>
      <c r="K364" s="288">
        <f t="shared" si="119"/>
        <v>0</v>
      </c>
      <c r="L364" s="289">
        <f t="shared" si="132"/>
        <v>0</v>
      </c>
      <c r="M364" s="290">
        <f t="shared" si="115"/>
        <v>0</v>
      </c>
      <c r="N364" s="290" t="e">
        <f t="shared" si="116"/>
        <v>#NUM!</v>
      </c>
      <c r="O364" s="290">
        <f t="shared" si="108"/>
        <v>0</v>
      </c>
      <c r="P364" s="290">
        <f t="shared" si="109"/>
        <v>0</v>
      </c>
      <c r="Q364" s="291">
        <f t="shared" si="110"/>
        <v>0</v>
      </c>
      <c r="S364" s="287">
        <f t="shared" si="133"/>
        <v>0</v>
      </c>
      <c r="T364" s="288">
        <f t="shared" si="121"/>
        <v>0</v>
      </c>
      <c r="U364" s="289">
        <f t="shared" si="134"/>
        <v>0</v>
      </c>
      <c r="V364" s="290">
        <f t="shared" si="135"/>
        <v>0</v>
      </c>
      <c r="W364" s="290" t="e">
        <f t="shared" si="124"/>
        <v>#NUM!</v>
      </c>
      <c r="X364" s="290">
        <f t="shared" si="111"/>
        <v>0</v>
      </c>
      <c r="Y364" s="290" t="e">
        <f t="shared" si="112"/>
        <v>#NUM!</v>
      </c>
      <c r="Z364" s="290">
        <f t="shared" si="125"/>
        <v>0</v>
      </c>
      <c r="AA364" s="291"/>
      <c r="AC364"/>
      <c r="AD364"/>
      <c r="AE364"/>
      <c r="AF364"/>
      <c r="AG364"/>
      <c r="AH364"/>
      <c r="AI364"/>
      <c r="AJ364"/>
    </row>
    <row r="365" spans="1:36" hidden="1">
      <c r="A365" s="292">
        <f t="shared" si="129"/>
        <v>27</v>
      </c>
      <c r="B365" s="293">
        <f t="shared" si="117"/>
        <v>313</v>
      </c>
      <c r="C365" s="294">
        <f t="shared" si="130"/>
        <v>55550</v>
      </c>
      <c r="D365" s="295">
        <f t="shared" si="113"/>
        <v>1284103.0554016775</v>
      </c>
      <c r="E365" s="295">
        <f t="shared" si="114"/>
        <v>-30010.234142609712</v>
      </c>
      <c r="F365" s="295">
        <f t="shared" si="105"/>
        <v>-23857.240335476683</v>
      </c>
      <c r="G365" s="295">
        <f t="shared" si="106"/>
        <v>-6152.9938071330298</v>
      </c>
      <c r="H365" s="296">
        <f t="shared" si="107"/>
        <v>1260245.8150662009</v>
      </c>
      <c r="J365" s="292">
        <f t="shared" si="131"/>
        <v>0</v>
      </c>
      <c r="K365" s="293">
        <f t="shared" si="119"/>
        <v>0</v>
      </c>
      <c r="L365" s="294">
        <f t="shared" si="132"/>
        <v>0</v>
      </c>
      <c r="M365" s="295">
        <f t="shared" si="115"/>
        <v>0</v>
      </c>
      <c r="N365" s="295" t="e">
        <f t="shared" si="116"/>
        <v>#NUM!</v>
      </c>
      <c r="O365" s="295">
        <f t="shared" si="108"/>
        <v>0</v>
      </c>
      <c r="P365" s="295">
        <f t="shared" si="109"/>
        <v>0</v>
      </c>
      <c r="Q365" s="296">
        <f t="shared" si="110"/>
        <v>0</v>
      </c>
      <c r="S365" s="292">
        <f t="shared" si="133"/>
        <v>0</v>
      </c>
      <c r="T365" s="293">
        <f t="shared" si="121"/>
        <v>0</v>
      </c>
      <c r="U365" s="294">
        <f t="shared" si="134"/>
        <v>0</v>
      </c>
      <c r="V365" s="295">
        <f t="shared" si="135"/>
        <v>0</v>
      </c>
      <c r="W365" s="290" t="e">
        <f t="shared" si="124"/>
        <v>#NUM!</v>
      </c>
      <c r="X365" s="295">
        <f t="shared" si="111"/>
        <v>0</v>
      </c>
      <c r="Y365" s="295" t="e">
        <f t="shared" si="112"/>
        <v>#NUM!</v>
      </c>
      <c r="Z365" s="295">
        <f t="shared" si="125"/>
        <v>0</v>
      </c>
      <c r="AA365" s="296"/>
      <c r="AC365"/>
      <c r="AD365"/>
      <c r="AE365"/>
      <c r="AF365"/>
      <c r="AG365"/>
      <c r="AH365"/>
      <c r="AI365"/>
      <c r="AJ365"/>
    </row>
    <row r="366" spans="1:36" hidden="1">
      <c r="A366" s="287">
        <f t="shared" si="129"/>
        <v>27</v>
      </c>
      <c r="B366" s="288">
        <f t="shared" si="117"/>
        <v>314</v>
      </c>
      <c r="C366" s="289">
        <f t="shared" si="130"/>
        <v>55579</v>
      </c>
      <c r="D366" s="290">
        <f t="shared" si="113"/>
        <v>1260245.8150662009</v>
      </c>
      <c r="E366" s="290">
        <f t="shared" si="114"/>
        <v>-30010.234142609712</v>
      </c>
      <c r="F366" s="290">
        <f t="shared" si="105"/>
        <v>-23971.556278750842</v>
      </c>
      <c r="G366" s="290">
        <f t="shared" si="106"/>
        <v>-6038.6778638588712</v>
      </c>
      <c r="H366" s="291">
        <f t="shared" si="107"/>
        <v>1236274.2587874501</v>
      </c>
      <c r="J366" s="287">
        <f t="shared" si="131"/>
        <v>0</v>
      </c>
      <c r="K366" s="288">
        <f t="shared" si="119"/>
        <v>0</v>
      </c>
      <c r="L366" s="289">
        <f t="shared" si="132"/>
        <v>0</v>
      </c>
      <c r="M366" s="290">
        <f t="shared" si="115"/>
        <v>0</v>
      </c>
      <c r="N366" s="290" t="e">
        <f t="shared" si="116"/>
        <v>#NUM!</v>
      </c>
      <c r="O366" s="290">
        <f t="shared" si="108"/>
        <v>0</v>
      </c>
      <c r="P366" s="290">
        <f t="shared" si="109"/>
        <v>0</v>
      </c>
      <c r="Q366" s="291">
        <f t="shared" si="110"/>
        <v>0</v>
      </c>
      <c r="S366" s="287">
        <f t="shared" si="133"/>
        <v>0</v>
      </c>
      <c r="T366" s="288">
        <f t="shared" si="121"/>
        <v>0</v>
      </c>
      <c r="U366" s="289">
        <f t="shared" si="134"/>
        <v>0</v>
      </c>
      <c r="V366" s="290">
        <f t="shared" si="135"/>
        <v>0</v>
      </c>
      <c r="W366" s="290" t="e">
        <f t="shared" si="124"/>
        <v>#NUM!</v>
      </c>
      <c r="X366" s="290">
        <f t="shared" si="111"/>
        <v>0</v>
      </c>
      <c r="Y366" s="290" t="e">
        <f t="shared" si="112"/>
        <v>#NUM!</v>
      </c>
      <c r="Z366" s="290">
        <f t="shared" si="125"/>
        <v>0</v>
      </c>
      <c r="AA366" s="291"/>
      <c r="AC366"/>
      <c r="AD366"/>
      <c r="AE366"/>
      <c r="AF366"/>
      <c r="AG366"/>
      <c r="AH366"/>
      <c r="AI366"/>
      <c r="AJ366"/>
    </row>
    <row r="367" spans="1:36" hidden="1">
      <c r="A367" s="292">
        <f t="shared" si="129"/>
        <v>27</v>
      </c>
      <c r="B367" s="293">
        <f t="shared" si="117"/>
        <v>315</v>
      </c>
      <c r="C367" s="294">
        <f t="shared" si="130"/>
        <v>55610</v>
      </c>
      <c r="D367" s="295">
        <f t="shared" si="113"/>
        <v>1236274.2587874501</v>
      </c>
      <c r="E367" s="295">
        <f t="shared" si="114"/>
        <v>-30010.234142609712</v>
      </c>
      <c r="F367" s="295">
        <f t="shared" si="105"/>
        <v>-24086.41998591986</v>
      </c>
      <c r="G367" s="295">
        <f t="shared" si="106"/>
        <v>-5923.8141566898566</v>
      </c>
      <c r="H367" s="296">
        <f t="shared" si="107"/>
        <v>1212187.8388015302</v>
      </c>
      <c r="J367" s="292">
        <f t="shared" si="131"/>
        <v>0</v>
      </c>
      <c r="K367" s="293">
        <f t="shared" si="119"/>
        <v>0</v>
      </c>
      <c r="L367" s="294">
        <f t="shared" si="132"/>
        <v>0</v>
      </c>
      <c r="M367" s="295">
        <f t="shared" si="115"/>
        <v>0</v>
      </c>
      <c r="N367" s="295" t="e">
        <f t="shared" si="116"/>
        <v>#NUM!</v>
      </c>
      <c r="O367" s="295">
        <f t="shared" si="108"/>
        <v>0</v>
      </c>
      <c r="P367" s="295">
        <f t="shared" si="109"/>
        <v>0</v>
      </c>
      <c r="Q367" s="296">
        <f t="shared" si="110"/>
        <v>0</v>
      </c>
      <c r="S367" s="292">
        <f t="shared" si="133"/>
        <v>0</v>
      </c>
      <c r="T367" s="293">
        <f t="shared" si="121"/>
        <v>0</v>
      </c>
      <c r="U367" s="294">
        <f t="shared" si="134"/>
        <v>0</v>
      </c>
      <c r="V367" s="295">
        <f t="shared" si="135"/>
        <v>0</v>
      </c>
      <c r="W367" s="290" t="e">
        <f t="shared" si="124"/>
        <v>#NUM!</v>
      </c>
      <c r="X367" s="295">
        <f t="shared" si="111"/>
        <v>0</v>
      </c>
      <c r="Y367" s="295" t="e">
        <f t="shared" si="112"/>
        <v>#NUM!</v>
      </c>
      <c r="Z367" s="295">
        <f t="shared" si="125"/>
        <v>0</v>
      </c>
      <c r="AA367" s="296"/>
      <c r="AC367"/>
      <c r="AD367"/>
      <c r="AE367"/>
      <c r="AF367"/>
      <c r="AG367"/>
      <c r="AH367"/>
      <c r="AI367"/>
      <c r="AJ367"/>
    </row>
    <row r="368" spans="1:36" hidden="1">
      <c r="A368" s="287">
        <f t="shared" si="129"/>
        <v>27</v>
      </c>
      <c r="B368" s="288">
        <f t="shared" si="117"/>
        <v>316</v>
      </c>
      <c r="C368" s="289">
        <f t="shared" si="130"/>
        <v>55640</v>
      </c>
      <c r="D368" s="290">
        <f t="shared" si="113"/>
        <v>1212187.8388015302</v>
      </c>
      <c r="E368" s="290">
        <f t="shared" si="114"/>
        <v>-30010.234142609712</v>
      </c>
      <c r="F368" s="290">
        <f t="shared" si="105"/>
        <v>-24201.834081685724</v>
      </c>
      <c r="G368" s="290">
        <f t="shared" si="106"/>
        <v>-5808.4000609239893</v>
      </c>
      <c r="H368" s="291">
        <f t="shared" si="107"/>
        <v>1187986.0047198446</v>
      </c>
      <c r="J368" s="287">
        <f t="shared" si="131"/>
        <v>0</v>
      </c>
      <c r="K368" s="288">
        <f t="shared" si="119"/>
        <v>0</v>
      </c>
      <c r="L368" s="289">
        <f t="shared" si="132"/>
        <v>0</v>
      </c>
      <c r="M368" s="290">
        <f t="shared" si="115"/>
        <v>0</v>
      </c>
      <c r="N368" s="290" t="e">
        <f t="shared" si="116"/>
        <v>#NUM!</v>
      </c>
      <c r="O368" s="290">
        <f t="shared" si="108"/>
        <v>0</v>
      </c>
      <c r="P368" s="290">
        <f t="shared" si="109"/>
        <v>0</v>
      </c>
      <c r="Q368" s="291">
        <f t="shared" si="110"/>
        <v>0</v>
      </c>
      <c r="S368" s="287">
        <f t="shared" si="133"/>
        <v>0</v>
      </c>
      <c r="T368" s="288">
        <f t="shared" si="121"/>
        <v>0</v>
      </c>
      <c r="U368" s="289">
        <f t="shared" si="134"/>
        <v>0</v>
      </c>
      <c r="V368" s="290">
        <f t="shared" si="135"/>
        <v>0</v>
      </c>
      <c r="W368" s="290" t="e">
        <f t="shared" si="124"/>
        <v>#NUM!</v>
      </c>
      <c r="X368" s="290">
        <f t="shared" si="111"/>
        <v>0</v>
      </c>
      <c r="Y368" s="290" t="e">
        <f t="shared" si="112"/>
        <v>#NUM!</v>
      </c>
      <c r="Z368" s="290">
        <f t="shared" si="125"/>
        <v>0</v>
      </c>
      <c r="AA368" s="291"/>
      <c r="AC368"/>
      <c r="AD368"/>
      <c r="AE368"/>
      <c r="AF368"/>
      <c r="AG368"/>
      <c r="AH368"/>
      <c r="AI368"/>
      <c r="AJ368"/>
    </row>
    <row r="369" spans="1:36" hidden="1">
      <c r="A369" s="292">
        <f t="shared" si="129"/>
        <v>27</v>
      </c>
      <c r="B369" s="293">
        <f t="shared" si="117"/>
        <v>317</v>
      </c>
      <c r="C369" s="294">
        <f t="shared" si="130"/>
        <v>55671</v>
      </c>
      <c r="D369" s="295">
        <f t="shared" si="113"/>
        <v>1187986.0047198446</v>
      </c>
      <c r="E369" s="295">
        <f t="shared" si="114"/>
        <v>-30010.234142609712</v>
      </c>
      <c r="F369" s="295">
        <f t="shared" si="105"/>
        <v>-24317.80120332713</v>
      </c>
      <c r="G369" s="295">
        <f t="shared" si="106"/>
        <v>-5692.4329392825794</v>
      </c>
      <c r="H369" s="296">
        <f t="shared" si="107"/>
        <v>1163668.2035165175</v>
      </c>
      <c r="J369" s="292">
        <f t="shared" si="131"/>
        <v>0</v>
      </c>
      <c r="K369" s="293">
        <f t="shared" si="119"/>
        <v>0</v>
      </c>
      <c r="L369" s="294">
        <f t="shared" si="132"/>
        <v>0</v>
      </c>
      <c r="M369" s="295">
        <f t="shared" si="115"/>
        <v>0</v>
      </c>
      <c r="N369" s="295" t="e">
        <f t="shared" si="116"/>
        <v>#NUM!</v>
      </c>
      <c r="O369" s="295">
        <f t="shared" si="108"/>
        <v>0</v>
      </c>
      <c r="P369" s="295">
        <f t="shared" si="109"/>
        <v>0</v>
      </c>
      <c r="Q369" s="296">
        <f t="shared" si="110"/>
        <v>0</v>
      </c>
      <c r="S369" s="292">
        <f t="shared" si="133"/>
        <v>0</v>
      </c>
      <c r="T369" s="293">
        <f t="shared" si="121"/>
        <v>0</v>
      </c>
      <c r="U369" s="294">
        <f t="shared" si="134"/>
        <v>0</v>
      </c>
      <c r="V369" s="295">
        <f t="shared" si="135"/>
        <v>0</v>
      </c>
      <c r="W369" s="290" t="e">
        <f t="shared" si="124"/>
        <v>#NUM!</v>
      </c>
      <c r="X369" s="295">
        <f t="shared" si="111"/>
        <v>0</v>
      </c>
      <c r="Y369" s="295" t="e">
        <f t="shared" si="112"/>
        <v>#NUM!</v>
      </c>
      <c r="Z369" s="295">
        <f t="shared" si="125"/>
        <v>0</v>
      </c>
      <c r="AA369" s="296"/>
      <c r="AC369"/>
      <c r="AD369"/>
      <c r="AE369"/>
      <c r="AF369"/>
      <c r="AG369"/>
      <c r="AH369"/>
      <c r="AI369"/>
      <c r="AJ369"/>
    </row>
    <row r="370" spans="1:36" hidden="1">
      <c r="A370" s="287">
        <f t="shared" si="129"/>
        <v>27</v>
      </c>
      <c r="B370" s="288">
        <f t="shared" si="117"/>
        <v>318</v>
      </c>
      <c r="C370" s="289">
        <f t="shared" si="130"/>
        <v>55701</v>
      </c>
      <c r="D370" s="290">
        <f t="shared" si="113"/>
        <v>1163668.2035165175</v>
      </c>
      <c r="E370" s="290">
        <f t="shared" si="114"/>
        <v>-30010.234142609712</v>
      </c>
      <c r="F370" s="290">
        <f t="shared" si="105"/>
        <v>-24434.324000759741</v>
      </c>
      <c r="G370" s="290">
        <f t="shared" si="106"/>
        <v>-5575.9101418499704</v>
      </c>
      <c r="H370" s="291">
        <f t="shared" si="107"/>
        <v>1139233.8795157578</v>
      </c>
      <c r="J370" s="287">
        <f t="shared" si="131"/>
        <v>0</v>
      </c>
      <c r="K370" s="288">
        <f t="shared" si="119"/>
        <v>0</v>
      </c>
      <c r="L370" s="289">
        <f t="shared" si="132"/>
        <v>0</v>
      </c>
      <c r="M370" s="290">
        <f t="shared" si="115"/>
        <v>0</v>
      </c>
      <c r="N370" s="290" t="e">
        <f t="shared" si="116"/>
        <v>#NUM!</v>
      </c>
      <c r="O370" s="290">
        <f t="shared" si="108"/>
        <v>0</v>
      </c>
      <c r="P370" s="290">
        <f t="shared" si="109"/>
        <v>0</v>
      </c>
      <c r="Q370" s="291">
        <f t="shared" si="110"/>
        <v>0</v>
      </c>
      <c r="S370" s="287">
        <f t="shared" si="133"/>
        <v>0</v>
      </c>
      <c r="T370" s="288">
        <f t="shared" si="121"/>
        <v>0</v>
      </c>
      <c r="U370" s="289">
        <f t="shared" si="134"/>
        <v>0</v>
      </c>
      <c r="V370" s="290">
        <f t="shared" si="135"/>
        <v>0</v>
      </c>
      <c r="W370" s="290" t="e">
        <f t="shared" si="124"/>
        <v>#NUM!</v>
      </c>
      <c r="X370" s="290">
        <f t="shared" si="111"/>
        <v>0</v>
      </c>
      <c r="Y370" s="290" t="e">
        <f t="shared" si="112"/>
        <v>#NUM!</v>
      </c>
      <c r="Z370" s="290">
        <f t="shared" si="125"/>
        <v>0</v>
      </c>
      <c r="AA370" s="291"/>
      <c r="AC370"/>
      <c r="AD370"/>
      <c r="AE370"/>
      <c r="AF370"/>
      <c r="AG370"/>
      <c r="AH370"/>
      <c r="AI370"/>
      <c r="AJ370"/>
    </row>
    <row r="371" spans="1:36" hidden="1">
      <c r="A371" s="292">
        <f t="shared" si="129"/>
        <v>27</v>
      </c>
      <c r="B371" s="293">
        <f t="shared" si="117"/>
        <v>319</v>
      </c>
      <c r="C371" s="294">
        <f t="shared" si="130"/>
        <v>55732</v>
      </c>
      <c r="D371" s="295">
        <f t="shared" si="113"/>
        <v>1139233.8795157578</v>
      </c>
      <c r="E371" s="295">
        <f t="shared" si="114"/>
        <v>-30010.234142609712</v>
      </c>
      <c r="F371" s="295">
        <f t="shared" si="105"/>
        <v>-24551.405136596717</v>
      </c>
      <c r="G371" s="295">
        <f t="shared" si="106"/>
        <v>-5458.8290060129966</v>
      </c>
      <c r="H371" s="296">
        <f t="shared" si="107"/>
        <v>1114682.4743791611</v>
      </c>
      <c r="J371" s="292">
        <f t="shared" si="131"/>
        <v>0</v>
      </c>
      <c r="K371" s="293">
        <f t="shared" si="119"/>
        <v>0</v>
      </c>
      <c r="L371" s="294">
        <f t="shared" si="132"/>
        <v>0</v>
      </c>
      <c r="M371" s="295">
        <f t="shared" si="115"/>
        <v>0</v>
      </c>
      <c r="N371" s="295" t="e">
        <f t="shared" si="116"/>
        <v>#NUM!</v>
      </c>
      <c r="O371" s="295">
        <f t="shared" si="108"/>
        <v>0</v>
      </c>
      <c r="P371" s="295">
        <f t="shared" si="109"/>
        <v>0</v>
      </c>
      <c r="Q371" s="296">
        <f t="shared" si="110"/>
        <v>0</v>
      </c>
      <c r="S371" s="292">
        <f t="shared" si="133"/>
        <v>0</v>
      </c>
      <c r="T371" s="293">
        <f t="shared" si="121"/>
        <v>0</v>
      </c>
      <c r="U371" s="294">
        <f t="shared" si="134"/>
        <v>0</v>
      </c>
      <c r="V371" s="295">
        <f t="shared" si="135"/>
        <v>0</v>
      </c>
      <c r="W371" s="290" t="e">
        <f t="shared" si="124"/>
        <v>#NUM!</v>
      </c>
      <c r="X371" s="295">
        <f t="shared" si="111"/>
        <v>0</v>
      </c>
      <c r="Y371" s="295" t="e">
        <f t="shared" si="112"/>
        <v>#NUM!</v>
      </c>
      <c r="Z371" s="295">
        <f t="shared" si="125"/>
        <v>0</v>
      </c>
      <c r="AA371" s="296"/>
      <c r="AC371"/>
      <c r="AD371"/>
      <c r="AE371"/>
      <c r="AF371"/>
      <c r="AG371"/>
      <c r="AH371"/>
      <c r="AI371"/>
      <c r="AJ371"/>
    </row>
    <row r="372" spans="1:36" hidden="1">
      <c r="A372" s="287">
        <f t="shared" si="129"/>
        <v>27</v>
      </c>
      <c r="B372" s="288">
        <f t="shared" si="117"/>
        <v>320</v>
      </c>
      <c r="C372" s="289">
        <f t="shared" si="130"/>
        <v>55763</v>
      </c>
      <c r="D372" s="290">
        <f t="shared" si="113"/>
        <v>1114682.4743791611</v>
      </c>
      <c r="E372" s="290">
        <f t="shared" si="114"/>
        <v>-30010.234142609712</v>
      </c>
      <c r="F372" s="290">
        <f t="shared" si="105"/>
        <v>-24669.047286209578</v>
      </c>
      <c r="G372" s="290">
        <f t="shared" si="106"/>
        <v>-5341.1868564001388</v>
      </c>
      <c r="H372" s="291">
        <f t="shared" si="107"/>
        <v>1090013.4270929515</v>
      </c>
      <c r="J372" s="287">
        <f t="shared" si="131"/>
        <v>0</v>
      </c>
      <c r="K372" s="288">
        <f t="shared" si="119"/>
        <v>0</v>
      </c>
      <c r="L372" s="289">
        <f t="shared" si="132"/>
        <v>0</v>
      </c>
      <c r="M372" s="290">
        <f t="shared" si="115"/>
        <v>0</v>
      </c>
      <c r="N372" s="290" t="e">
        <f t="shared" si="116"/>
        <v>#NUM!</v>
      </c>
      <c r="O372" s="290">
        <f t="shared" si="108"/>
        <v>0</v>
      </c>
      <c r="P372" s="290">
        <f t="shared" si="109"/>
        <v>0</v>
      </c>
      <c r="Q372" s="291">
        <f t="shared" si="110"/>
        <v>0</v>
      </c>
      <c r="S372" s="287">
        <f t="shared" si="133"/>
        <v>0</v>
      </c>
      <c r="T372" s="288">
        <f t="shared" si="121"/>
        <v>0</v>
      </c>
      <c r="U372" s="289">
        <f t="shared" si="134"/>
        <v>0</v>
      </c>
      <c r="V372" s="290">
        <f t="shared" si="135"/>
        <v>0</v>
      </c>
      <c r="W372" s="290" t="e">
        <f t="shared" si="124"/>
        <v>#NUM!</v>
      </c>
      <c r="X372" s="290">
        <f t="shared" si="111"/>
        <v>0</v>
      </c>
      <c r="Y372" s="290" t="e">
        <f t="shared" si="112"/>
        <v>#NUM!</v>
      </c>
      <c r="Z372" s="290">
        <f t="shared" si="125"/>
        <v>0</v>
      </c>
      <c r="AA372" s="291"/>
      <c r="AC372"/>
      <c r="AD372"/>
      <c r="AE372"/>
      <c r="AF372"/>
      <c r="AG372"/>
      <c r="AH372"/>
      <c r="AI372"/>
      <c r="AJ372"/>
    </row>
    <row r="373" spans="1:36" hidden="1">
      <c r="A373" s="292">
        <f t="shared" si="129"/>
        <v>27</v>
      </c>
      <c r="B373" s="293">
        <f t="shared" si="117"/>
        <v>321</v>
      </c>
      <c r="C373" s="294">
        <f t="shared" si="130"/>
        <v>55793</v>
      </c>
      <c r="D373" s="295">
        <f t="shared" si="113"/>
        <v>1090013.4270929515</v>
      </c>
      <c r="E373" s="295">
        <f t="shared" si="114"/>
        <v>-30010.234142609712</v>
      </c>
      <c r="F373" s="295">
        <f t="shared" ref="F373:F412" si="136">IF(AND(SwitchRefi="Yes",OR(C373=0,C373&gt;=$I$10)),0,IFERROR(PPMT(IF(SwitchCompound="Monthly",$E$13/12,($E$13/2+1)^(2/12)-1),B373,$E$17*12,$D$53),0))</f>
        <v>-24787.253137789332</v>
      </c>
      <c r="G373" s="295">
        <f t="shared" ref="G373:G412" si="137">IF(AND(SwitchRefi="Yes",OR(C373=0,C373&gt;=$I$10)),0,IFERROR(IPMT(IF(SwitchCompound="Monthly",$E$13/12,($E$13/2+1)^(2/12)-1),IF(B373=0,1,B373),$E$17*12,$D$53),0))</f>
        <v>-5222.9810048203826</v>
      </c>
      <c r="H373" s="296">
        <f t="shared" ref="H373:H412" si="138">IF(AND(SwitchRefi="Yes",C373&gt;=$I$10),0,D373+F373)</f>
        <v>1065226.1739551621</v>
      </c>
      <c r="J373" s="292">
        <f t="shared" si="131"/>
        <v>0</v>
      </c>
      <c r="K373" s="293">
        <f t="shared" si="119"/>
        <v>0</v>
      </c>
      <c r="L373" s="294">
        <f t="shared" si="132"/>
        <v>0</v>
      </c>
      <c r="M373" s="295">
        <f t="shared" si="115"/>
        <v>0</v>
      </c>
      <c r="N373" s="295" t="e">
        <f t="shared" si="116"/>
        <v>#NUM!</v>
      </c>
      <c r="O373" s="295">
        <f t="shared" ref="O373:O412" si="139">IF(AND(SwitchRefi="Yes",OR(L373=0,L373&gt;=$I$10)),0,IFERROR(PPMT(IF(SwitchCompound="Monthly",$G$13/12,($G$13/2+1)^(2/12)-1),K373,$G$17*12,$M$53),0))</f>
        <v>0</v>
      </c>
      <c r="P373" s="295">
        <f t="shared" ref="P373:P412" si="140">IF(AND(SwitchRefi="Yes",OR(L373=0,L373&gt;=$I$10)),0,IFERROR(IPMT(IF(SwitchCompound="Monthly",$G$13/12,($G$13/2+1)^(2/12)-1),IF(K373=0,1,K373),$G$17*12,$M$53),0))</f>
        <v>0</v>
      </c>
      <c r="Q373" s="296">
        <f t="shared" ref="Q373:Q412" si="141">IF(AND(SwitchRefi="Yes",L373&gt;=$I$10),0,M373+O373)</f>
        <v>0</v>
      </c>
      <c r="S373" s="292">
        <f t="shared" si="133"/>
        <v>0</v>
      </c>
      <c r="T373" s="293">
        <f t="shared" si="121"/>
        <v>0</v>
      </c>
      <c r="U373" s="294">
        <f t="shared" si="134"/>
        <v>0</v>
      </c>
      <c r="V373" s="295">
        <f t="shared" si="135"/>
        <v>0</v>
      </c>
      <c r="W373" s="290" t="e">
        <f t="shared" si="124"/>
        <v>#NUM!</v>
      </c>
      <c r="X373" s="295">
        <f t="shared" ref="X373:X412" si="142">IFERROR(PPMT(IF(SwitchCompound="Monthly",$I$13/12,($I$13/2+1)^(2/12)-1),T373,$I$17*12,$V$53),0)</f>
        <v>0</v>
      </c>
      <c r="Y373" s="295" t="e">
        <f t="shared" ref="Y373:Y412" si="143">IPMT(IF(SwitchCompound="Monthly",$I$13/12,($I$13/2+1)^(2/12)-1),IF(T373=0,1,T373),$I$17*12,$V$53)</f>
        <v>#NUM!</v>
      </c>
      <c r="Z373" s="295">
        <f t="shared" si="125"/>
        <v>0</v>
      </c>
      <c r="AA373" s="296"/>
      <c r="AC373"/>
      <c r="AD373"/>
      <c r="AE373"/>
      <c r="AF373"/>
      <c r="AG373"/>
      <c r="AH373"/>
      <c r="AI373"/>
      <c r="AJ373"/>
    </row>
    <row r="374" spans="1:36" hidden="1">
      <c r="A374" s="287">
        <f t="shared" si="129"/>
        <v>27</v>
      </c>
      <c r="B374" s="288">
        <f t="shared" si="117"/>
        <v>322</v>
      </c>
      <c r="C374" s="289">
        <f t="shared" si="130"/>
        <v>55824</v>
      </c>
      <c r="D374" s="290">
        <f t="shared" ref="D374:D412" si="144">IF(AND(SwitchRefi="Yes",C374&gt;=$I$10),0,H373)</f>
        <v>1065226.1739551621</v>
      </c>
      <c r="E374" s="290">
        <f t="shared" ref="E374:E412" si="145">IF(AND(SwitchRefi="Yes",OR(C374=0,C374&gt;=$I$10)),0,$E$53)</f>
        <v>-30010.234142609712</v>
      </c>
      <c r="F374" s="290">
        <f t="shared" si="136"/>
        <v>-24906.025392407908</v>
      </c>
      <c r="G374" s="290">
        <f t="shared" si="137"/>
        <v>-5104.2087502018085</v>
      </c>
      <c r="H374" s="291">
        <f t="shared" si="138"/>
        <v>1040320.1485627542</v>
      </c>
      <c r="J374" s="287">
        <f t="shared" si="131"/>
        <v>0</v>
      </c>
      <c r="K374" s="288">
        <f t="shared" si="119"/>
        <v>0</v>
      </c>
      <c r="L374" s="289">
        <f t="shared" si="132"/>
        <v>0</v>
      </c>
      <c r="M374" s="290">
        <f t="shared" ref="M374:M412" si="146">IF(AND(SwitchRefi="Yes",L374&gt;=$I$10),0,Q373)</f>
        <v>0</v>
      </c>
      <c r="N374" s="290" t="e">
        <f t="shared" ref="N374:N412" si="147">IF(AND(SwitchRefi="Yes",OR(L374=0,L374&gt;=$I$10)),0,$N$53)</f>
        <v>#NUM!</v>
      </c>
      <c r="O374" s="290">
        <f t="shared" si="139"/>
        <v>0</v>
      </c>
      <c r="P374" s="290">
        <f t="shared" si="140"/>
        <v>0</v>
      </c>
      <c r="Q374" s="291">
        <f t="shared" si="141"/>
        <v>0</v>
      </c>
      <c r="S374" s="287">
        <f t="shared" si="133"/>
        <v>0</v>
      </c>
      <c r="T374" s="288">
        <f t="shared" si="121"/>
        <v>0</v>
      </c>
      <c r="U374" s="289">
        <f t="shared" si="134"/>
        <v>0</v>
      </c>
      <c r="V374" s="290">
        <f t="shared" si="135"/>
        <v>0</v>
      </c>
      <c r="W374" s="290" t="e">
        <f t="shared" si="124"/>
        <v>#NUM!</v>
      </c>
      <c r="X374" s="290">
        <f t="shared" si="142"/>
        <v>0</v>
      </c>
      <c r="Y374" s="290" t="e">
        <f t="shared" si="143"/>
        <v>#NUM!</v>
      </c>
      <c r="Z374" s="290">
        <f t="shared" si="125"/>
        <v>0</v>
      </c>
      <c r="AA374" s="291"/>
      <c r="AC374"/>
      <c r="AD374"/>
      <c r="AE374"/>
      <c r="AF374"/>
      <c r="AG374"/>
      <c r="AH374"/>
      <c r="AI374"/>
      <c r="AJ374"/>
    </row>
    <row r="375" spans="1:36" hidden="1">
      <c r="A375" s="292">
        <f t="shared" si="129"/>
        <v>27</v>
      </c>
      <c r="B375" s="293">
        <f t="shared" ref="B375:B412" si="148">IF(B374=0,IF(C375&lt;$C$413,0,B374+1),IF(C374&gt;=$C$413,B374+1,0))</f>
        <v>323</v>
      </c>
      <c r="C375" s="294">
        <f t="shared" si="130"/>
        <v>55854</v>
      </c>
      <c r="D375" s="295">
        <f t="shared" si="144"/>
        <v>1040320.1485627542</v>
      </c>
      <c r="E375" s="295">
        <f t="shared" si="145"/>
        <v>-30010.234142609712</v>
      </c>
      <c r="F375" s="295">
        <f t="shared" si="136"/>
        <v>-25025.366764079856</v>
      </c>
      <c r="G375" s="295">
        <f t="shared" si="137"/>
        <v>-4984.8673785298542</v>
      </c>
      <c r="H375" s="296">
        <f t="shared" si="138"/>
        <v>1015294.7817986743</v>
      </c>
      <c r="J375" s="292">
        <f t="shared" si="131"/>
        <v>0</v>
      </c>
      <c r="K375" s="293">
        <f t="shared" ref="K375:K412" si="149">IF(K374=0,IF(L375&lt;$L$413,0,K374+1),IF(L374&gt;=$L$413,K374+1,0))</f>
        <v>0</v>
      </c>
      <c r="L375" s="294">
        <f t="shared" si="132"/>
        <v>0</v>
      </c>
      <c r="M375" s="295">
        <f t="shared" si="146"/>
        <v>0</v>
      </c>
      <c r="N375" s="295" t="e">
        <f t="shared" si="147"/>
        <v>#NUM!</v>
      </c>
      <c r="O375" s="295">
        <f t="shared" si="139"/>
        <v>0</v>
      </c>
      <c r="P375" s="295">
        <f t="shared" si="140"/>
        <v>0</v>
      </c>
      <c r="Q375" s="296">
        <f t="shared" si="141"/>
        <v>0</v>
      </c>
      <c r="S375" s="292">
        <f t="shared" si="133"/>
        <v>0</v>
      </c>
      <c r="T375" s="293">
        <f t="shared" ref="T375:T412" si="150">IF(T374=0,IF(U375&lt;$V$413,0,T374+1),IF(U374&gt;=$V$413,T374+1,0))</f>
        <v>0</v>
      </c>
      <c r="U375" s="294">
        <f t="shared" si="134"/>
        <v>0</v>
      </c>
      <c r="V375" s="295">
        <f t="shared" si="135"/>
        <v>0</v>
      </c>
      <c r="W375" s="290" t="e">
        <f t="shared" ref="W375:W412" si="151">$W$53</f>
        <v>#NUM!</v>
      </c>
      <c r="X375" s="295">
        <f t="shared" si="142"/>
        <v>0</v>
      </c>
      <c r="Y375" s="295" t="e">
        <f t="shared" si="143"/>
        <v>#NUM!</v>
      </c>
      <c r="Z375" s="295">
        <f t="shared" si="125"/>
        <v>0</v>
      </c>
      <c r="AA375" s="296"/>
      <c r="AC375"/>
      <c r="AD375"/>
      <c r="AE375"/>
      <c r="AF375"/>
      <c r="AG375"/>
      <c r="AH375"/>
      <c r="AI375"/>
      <c r="AJ375"/>
    </row>
    <row r="376" spans="1:36" hidden="1">
      <c r="A376" s="287">
        <f t="shared" si="129"/>
        <v>27</v>
      </c>
      <c r="B376" s="288">
        <f t="shared" si="148"/>
        <v>324</v>
      </c>
      <c r="C376" s="289">
        <f t="shared" si="130"/>
        <v>55885</v>
      </c>
      <c r="D376" s="290">
        <f t="shared" si="144"/>
        <v>1015294.7817986743</v>
      </c>
      <c r="E376" s="290">
        <f t="shared" si="145"/>
        <v>-30010.234142609712</v>
      </c>
      <c r="F376" s="290">
        <f t="shared" si="136"/>
        <v>-25145.279979824405</v>
      </c>
      <c r="G376" s="290">
        <f t="shared" si="137"/>
        <v>-4864.954162785305</v>
      </c>
      <c r="H376" s="291">
        <f t="shared" si="138"/>
        <v>990149.50181884982</v>
      </c>
      <c r="J376" s="287">
        <f t="shared" si="131"/>
        <v>0</v>
      </c>
      <c r="K376" s="288">
        <f t="shared" si="149"/>
        <v>0</v>
      </c>
      <c r="L376" s="289">
        <f t="shared" si="132"/>
        <v>0</v>
      </c>
      <c r="M376" s="290">
        <f t="shared" si="146"/>
        <v>0</v>
      </c>
      <c r="N376" s="290" t="e">
        <f t="shared" si="147"/>
        <v>#NUM!</v>
      </c>
      <c r="O376" s="290">
        <f t="shared" si="139"/>
        <v>0</v>
      </c>
      <c r="P376" s="290">
        <f t="shared" si="140"/>
        <v>0</v>
      </c>
      <c r="Q376" s="291">
        <f t="shared" si="141"/>
        <v>0</v>
      </c>
      <c r="S376" s="287">
        <f t="shared" si="133"/>
        <v>0</v>
      </c>
      <c r="T376" s="288">
        <f t="shared" si="150"/>
        <v>0</v>
      </c>
      <c r="U376" s="289">
        <f t="shared" si="134"/>
        <v>0</v>
      </c>
      <c r="V376" s="290">
        <f t="shared" si="135"/>
        <v>0</v>
      </c>
      <c r="W376" s="290" t="e">
        <f t="shared" si="151"/>
        <v>#NUM!</v>
      </c>
      <c r="X376" s="290">
        <f t="shared" si="142"/>
        <v>0</v>
      </c>
      <c r="Y376" s="290" t="e">
        <f t="shared" si="143"/>
        <v>#NUM!</v>
      </c>
      <c r="Z376" s="290">
        <f t="shared" si="125"/>
        <v>0</v>
      </c>
      <c r="AA376" s="291"/>
      <c r="AC376"/>
      <c r="AD376"/>
      <c r="AE376"/>
      <c r="AF376"/>
      <c r="AG376"/>
      <c r="AH376"/>
      <c r="AI376"/>
      <c r="AJ376"/>
    </row>
    <row r="377" spans="1:36" hidden="1">
      <c r="A377" s="292">
        <f t="shared" si="129"/>
        <v>28</v>
      </c>
      <c r="B377" s="293">
        <f t="shared" si="148"/>
        <v>325</v>
      </c>
      <c r="C377" s="294">
        <f t="shared" si="130"/>
        <v>55916</v>
      </c>
      <c r="D377" s="295">
        <f t="shared" si="144"/>
        <v>990149.50181884982</v>
      </c>
      <c r="E377" s="295">
        <f t="shared" si="145"/>
        <v>-30010.234142609712</v>
      </c>
      <c r="F377" s="295">
        <f t="shared" si="136"/>
        <v>-25265.767779727732</v>
      </c>
      <c r="G377" s="295">
        <f t="shared" si="137"/>
        <v>-4744.4663628819799</v>
      </c>
      <c r="H377" s="296">
        <f t="shared" si="138"/>
        <v>964883.73403912212</v>
      </c>
      <c r="J377" s="292">
        <f t="shared" si="131"/>
        <v>0</v>
      </c>
      <c r="K377" s="293">
        <f t="shared" si="149"/>
        <v>0</v>
      </c>
      <c r="L377" s="294">
        <f t="shared" si="132"/>
        <v>0</v>
      </c>
      <c r="M377" s="295">
        <f t="shared" si="146"/>
        <v>0</v>
      </c>
      <c r="N377" s="295" t="e">
        <f t="shared" si="147"/>
        <v>#NUM!</v>
      </c>
      <c r="O377" s="295">
        <f t="shared" si="139"/>
        <v>0</v>
      </c>
      <c r="P377" s="295">
        <f t="shared" si="140"/>
        <v>0</v>
      </c>
      <c r="Q377" s="296">
        <f t="shared" si="141"/>
        <v>0</v>
      </c>
      <c r="S377" s="292">
        <f t="shared" si="133"/>
        <v>0</v>
      </c>
      <c r="T377" s="293">
        <f t="shared" si="150"/>
        <v>0</v>
      </c>
      <c r="U377" s="294">
        <f t="shared" si="134"/>
        <v>0</v>
      </c>
      <c r="V377" s="295">
        <f t="shared" si="135"/>
        <v>0</v>
      </c>
      <c r="W377" s="290" t="e">
        <f t="shared" si="151"/>
        <v>#NUM!</v>
      </c>
      <c r="X377" s="295">
        <f t="shared" si="142"/>
        <v>0</v>
      </c>
      <c r="Y377" s="295" t="e">
        <f t="shared" si="143"/>
        <v>#NUM!</v>
      </c>
      <c r="Z377" s="295">
        <f t="shared" si="125"/>
        <v>0</v>
      </c>
      <c r="AA377" s="296"/>
      <c r="AC377"/>
      <c r="AD377"/>
      <c r="AE377"/>
      <c r="AF377"/>
      <c r="AG377"/>
      <c r="AH377"/>
      <c r="AI377"/>
      <c r="AJ377"/>
    </row>
    <row r="378" spans="1:36" hidden="1">
      <c r="A378" s="287">
        <f t="shared" si="129"/>
        <v>28</v>
      </c>
      <c r="B378" s="288">
        <f t="shared" si="148"/>
        <v>326</v>
      </c>
      <c r="C378" s="289">
        <f t="shared" si="130"/>
        <v>55944</v>
      </c>
      <c r="D378" s="290">
        <f t="shared" si="144"/>
        <v>964883.73403912212</v>
      </c>
      <c r="E378" s="290">
        <f t="shared" si="145"/>
        <v>-30010.234142609712</v>
      </c>
      <c r="F378" s="290">
        <f t="shared" si="136"/>
        <v>-25386.832917005595</v>
      </c>
      <c r="G378" s="290">
        <f t="shared" si="137"/>
        <v>-4623.4012256041169</v>
      </c>
      <c r="H378" s="291">
        <f t="shared" si="138"/>
        <v>939496.90112211648</v>
      </c>
      <c r="J378" s="287">
        <f t="shared" si="131"/>
        <v>0</v>
      </c>
      <c r="K378" s="288">
        <f t="shared" si="149"/>
        <v>0</v>
      </c>
      <c r="L378" s="289">
        <f t="shared" si="132"/>
        <v>0</v>
      </c>
      <c r="M378" s="290">
        <f t="shared" si="146"/>
        <v>0</v>
      </c>
      <c r="N378" s="290" t="e">
        <f t="shared" si="147"/>
        <v>#NUM!</v>
      </c>
      <c r="O378" s="290">
        <f t="shared" si="139"/>
        <v>0</v>
      </c>
      <c r="P378" s="290">
        <f t="shared" si="140"/>
        <v>0</v>
      </c>
      <c r="Q378" s="291">
        <f t="shared" si="141"/>
        <v>0</v>
      </c>
      <c r="S378" s="287">
        <f t="shared" si="133"/>
        <v>0</v>
      </c>
      <c r="T378" s="288">
        <f t="shared" si="150"/>
        <v>0</v>
      </c>
      <c r="U378" s="289">
        <f t="shared" si="134"/>
        <v>0</v>
      </c>
      <c r="V378" s="290">
        <f t="shared" si="135"/>
        <v>0</v>
      </c>
      <c r="W378" s="290" t="e">
        <f t="shared" si="151"/>
        <v>#NUM!</v>
      </c>
      <c r="X378" s="290">
        <f t="shared" si="142"/>
        <v>0</v>
      </c>
      <c r="Y378" s="290" t="e">
        <f t="shared" si="143"/>
        <v>#NUM!</v>
      </c>
      <c r="Z378" s="290">
        <f t="shared" si="125"/>
        <v>0</v>
      </c>
      <c r="AA378" s="291"/>
      <c r="AC378"/>
      <c r="AD378"/>
      <c r="AE378"/>
      <c r="AF378"/>
      <c r="AG378"/>
      <c r="AH378"/>
      <c r="AI378"/>
      <c r="AJ378"/>
    </row>
    <row r="379" spans="1:36" hidden="1">
      <c r="A379" s="292">
        <f t="shared" si="129"/>
        <v>28</v>
      </c>
      <c r="B379" s="293">
        <f t="shared" si="148"/>
        <v>327</v>
      </c>
      <c r="C379" s="294">
        <f t="shared" si="130"/>
        <v>55975</v>
      </c>
      <c r="D379" s="295">
        <f t="shared" si="144"/>
        <v>939496.90112211648</v>
      </c>
      <c r="E379" s="295">
        <f t="shared" si="145"/>
        <v>-30010.234142609712</v>
      </c>
      <c r="F379" s="295">
        <f t="shared" si="136"/>
        <v>-25508.478158066246</v>
      </c>
      <c r="G379" s="295">
        <f t="shared" si="137"/>
        <v>-4501.7559845434662</v>
      </c>
      <c r="H379" s="296">
        <f t="shared" si="138"/>
        <v>913988.4229640502</v>
      </c>
      <c r="J379" s="292">
        <f t="shared" si="131"/>
        <v>0</v>
      </c>
      <c r="K379" s="293">
        <f t="shared" si="149"/>
        <v>0</v>
      </c>
      <c r="L379" s="294">
        <f t="shared" si="132"/>
        <v>0</v>
      </c>
      <c r="M379" s="295">
        <f t="shared" si="146"/>
        <v>0</v>
      </c>
      <c r="N379" s="295" t="e">
        <f t="shared" si="147"/>
        <v>#NUM!</v>
      </c>
      <c r="O379" s="295">
        <f t="shared" si="139"/>
        <v>0</v>
      </c>
      <c r="P379" s="295">
        <f t="shared" si="140"/>
        <v>0</v>
      </c>
      <c r="Q379" s="296">
        <f t="shared" si="141"/>
        <v>0</v>
      </c>
      <c r="S379" s="292">
        <f t="shared" si="133"/>
        <v>0</v>
      </c>
      <c r="T379" s="293">
        <f t="shared" si="150"/>
        <v>0</v>
      </c>
      <c r="U379" s="294">
        <f t="shared" si="134"/>
        <v>0</v>
      </c>
      <c r="V379" s="295">
        <f t="shared" si="135"/>
        <v>0</v>
      </c>
      <c r="W379" s="290" t="e">
        <f t="shared" si="151"/>
        <v>#NUM!</v>
      </c>
      <c r="X379" s="295">
        <f t="shared" si="142"/>
        <v>0</v>
      </c>
      <c r="Y379" s="295" t="e">
        <f t="shared" si="143"/>
        <v>#NUM!</v>
      </c>
      <c r="Z379" s="295">
        <f t="shared" ref="Z379:Z412" si="152">V379+X379</f>
        <v>0</v>
      </c>
      <c r="AA379" s="296"/>
      <c r="AC379"/>
      <c r="AD379"/>
      <c r="AE379"/>
      <c r="AF379"/>
      <c r="AG379"/>
      <c r="AH379"/>
      <c r="AI379"/>
      <c r="AJ379"/>
    </row>
    <row r="380" spans="1:36" hidden="1">
      <c r="A380" s="287">
        <f t="shared" si="129"/>
        <v>28</v>
      </c>
      <c r="B380" s="288">
        <f t="shared" si="148"/>
        <v>328</v>
      </c>
      <c r="C380" s="289">
        <f t="shared" si="130"/>
        <v>56005</v>
      </c>
      <c r="D380" s="290">
        <f t="shared" si="144"/>
        <v>913988.4229640502</v>
      </c>
      <c r="E380" s="290">
        <f t="shared" si="145"/>
        <v>-30010.234142609712</v>
      </c>
      <c r="F380" s="290">
        <f t="shared" si="136"/>
        <v>-25630.706282573647</v>
      </c>
      <c r="G380" s="290">
        <f t="shared" si="137"/>
        <v>-4379.5278600360643</v>
      </c>
      <c r="H380" s="291">
        <f t="shared" si="138"/>
        <v>888357.71668147657</v>
      </c>
      <c r="J380" s="287">
        <f t="shared" si="131"/>
        <v>0</v>
      </c>
      <c r="K380" s="288">
        <f t="shared" si="149"/>
        <v>0</v>
      </c>
      <c r="L380" s="289">
        <f t="shared" si="132"/>
        <v>0</v>
      </c>
      <c r="M380" s="290">
        <f t="shared" si="146"/>
        <v>0</v>
      </c>
      <c r="N380" s="290" t="e">
        <f t="shared" si="147"/>
        <v>#NUM!</v>
      </c>
      <c r="O380" s="290">
        <f t="shared" si="139"/>
        <v>0</v>
      </c>
      <c r="P380" s="290">
        <f t="shared" si="140"/>
        <v>0</v>
      </c>
      <c r="Q380" s="291">
        <f t="shared" si="141"/>
        <v>0</v>
      </c>
      <c r="S380" s="287">
        <f t="shared" si="133"/>
        <v>0</v>
      </c>
      <c r="T380" s="288">
        <f t="shared" si="150"/>
        <v>0</v>
      </c>
      <c r="U380" s="289">
        <f t="shared" si="134"/>
        <v>0</v>
      </c>
      <c r="V380" s="290">
        <f t="shared" si="135"/>
        <v>0</v>
      </c>
      <c r="W380" s="290" t="e">
        <f t="shared" si="151"/>
        <v>#NUM!</v>
      </c>
      <c r="X380" s="290">
        <f t="shared" si="142"/>
        <v>0</v>
      </c>
      <c r="Y380" s="290" t="e">
        <f t="shared" si="143"/>
        <v>#NUM!</v>
      </c>
      <c r="Z380" s="290">
        <f t="shared" si="152"/>
        <v>0</v>
      </c>
      <c r="AA380" s="291"/>
      <c r="AC380"/>
      <c r="AD380"/>
      <c r="AE380"/>
      <c r="AF380"/>
      <c r="AG380"/>
      <c r="AH380"/>
      <c r="AI380"/>
      <c r="AJ380"/>
    </row>
    <row r="381" spans="1:36" hidden="1">
      <c r="A381" s="292">
        <f t="shared" si="129"/>
        <v>28</v>
      </c>
      <c r="B381" s="293">
        <f t="shared" si="148"/>
        <v>329</v>
      </c>
      <c r="C381" s="294">
        <f t="shared" si="130"/>
        <v>56036</v>
      </c>
      <c r="D381" s="295">
        <f t="shared" si="144"/>
        <v>888357.71668147657</v>
      </c>
      <c r="E381" s="295">
        <f t="shared" si="145"/>
        <v>-30010.234142609712</v>
      </c>
      <c r="F381" s="295">
        <f t="shared" si="136"/>
        <v>-25753.520083510979</v>
      </c>
      <c r="G381" s="295">
        <f t="shared" si="137"/>
        <v>-4256.7140590987337</v>
      </c>
      <c r="H381" s="296">
        <f t="shared" si="138"/>
        <v>862604.19659796555</v>
      </c>
      <c r="J381" s="292">
        <f t="shared" si="131"/>
        <v>0</v>
      </c>
      <c r="K381" s="293">
        <f t="shared" si="149"/>
        <v>0</v>
      </c>
      <c r="L381" s="294">
        <f t="shared" si="132"/>
        <v>0</v>
      </c>
      <c r="M381" s="295">
        <f t="shared" si="146"/>
        <v>0</v>
      </c>
      <c r="N381" s="295" t="e">
        <f t="shared" si="147"/>
        <v>#NUM!</v>
      </c>
      <c r="O381" s="295">
        <f t="shared" si="139"/>
        <v>0</v>
      </c>
      <c r="P381" s="295">
        <f t="shared" si="140"/>
        <v>0</v>
      </c>
      <c r="Q381" s="296">
        <f t="shared" si="141"/>
        <v>0</v>
      </c>
      <c r="S381" s="292">
        <f t="shared" si="133"/>
        <v>0</v>
      </c>
      <c r="T381" s="293">
        <f t="shared" si="150"/>
        <v>0</v>
      </c>
      <c r="U381" s="294">
        <f t="shared" si="134"/>
        <v>0</v>
      </c>
      <c r="V381" s="295">
        <f t="shared" si="135"/>
        <v>0</v>
      </c>
      <c r="W381" s="290" t="e">
        <f t="shared" si="151"/>
        <v>#NUM!</v>
      </c>
      <c r="X381" s="295">
        <f t="shared" si="142"/>
        <v>0</v>
      </c>
      <c r="Y381" s="295" t="e">
        <f t="shared" si="143"/>
        <v>#NUM!</v>
      </c>
      <c r="Z381" s="295">
        <f t="shared" si="152"/>
        <v>0</v>
      </c>
      <c r="AA381" s="296"/>
      <c r="AC381"/>
      <c r="AD381"/>
      <c r="AE381"/>
      <c r="AF381"/>
      <c r="AG381"/>
      <c r="AH381"/>
      <c r="AI381"/>
      <c r="AJ381"/>
    </row>
    <row r="382" spans="1:36" hidden="1">
      <c r="A382" s="287">
        <f t="shared" si="129"/>
        <v>28</v>
      </c>
      <c r="B382" s="288">
        <f t="shared" si="148"/>
        <v>330</v>
      </c>
      <c r="C382" s="289">
        <f t="shared" si="130"/>
        <v>56066</v>
      </c>
      <c r="D382" s="290">
        <f t="shared" si="144"/>
        <v>862604.19659796555</v>
      </c>
      <c r="E382" s="290">
        <f t="shared" si="145"/>
        <v>-30010.234142609712</v>
      </c>
      <c r="F382" s="290">
        <f t="shared" si="136"/>
        <v>-25876.922367244471</v>
      </c>
      <c r="G382" s="290">
        <f t="shared" si="137"/>
        <v>-4133.3117753652432</v>
      </c>
      <c r="H382" s="291">
        <f t="shared" si="138"/>
        <v>836727.27423072106</v>
      </c>
      <c r="J382" s="287">
        <f t="shared" si="131"/>
        <v>0</v>
      </c>
      <c r="K382" s="288">
        <f t="shared" si="149"/>
        <v>0</v>
      </c>
      <c r="L382" s="289">
        <f t="shared" si="132"/>
        <v>0</v>
      </c>
      <c r="M382" s="290">
        <f t="shared" si="146"/>
        <v>0</v>
      </c>
      <c r="N382" s="290" t="e">
        <f t="shared" si="147"/>
        <v>#NUM!</v>
      </c>
      <c r="O382" s="290">
        <f t="shared" si="139"/>
        <v>0</v>
      </c>
      <c r="P382" s="290">
        <f t="shared" si="140"/>
        <v>0</v>
      </c>
      <c r="Q382" s="291">
        <f t="shared" si="141"/>
        <v>0</v>
      </c>
      <c r="S382" s="287">
        <f t="shared" si="133"/>
        <v>0</v>
      </c>
      <c r="T382" s="288">
        <f t="shared" si="150"/>
        <v>0</v>
      </c>
      <c r="U382" s="289">
        <f t="shared" si="134"/>
        <v>0</v>
      </c>
      <c r="V382" s="290">
        <f t="shared" si="135"/>
        <v>0</v>
      </c>
      <c r="W382" s="290" t="e">
        <f t="shared" si="151"/>
        <v>#NUM!</v>
      </c>
      <c r="X382" s="290">
        <f t="shared" si="142"/>
        <v>0</v>
      </c>
      <c r="Y382" s="290" t="e">
        <f t="shared" si="143"/>
        <v>#NUM!</v>
      </c>
      <c r="Z382" s="290">
        <f t="shared" si="152"/>
        <v>0</v>
      </c>
      <c r="AA382" s="291"/>
      <c r="AC382"/>
      <c r="AD382"/>
      <c r="AE382"/>
      <c r="AF382"/>
      <c r="AG382"/>
      <c r="AH382"/>
      <c r="AI382"/>
      <c r="AJ382"/>
    </row>
    <row r="383" spans="1:36" hidden="1">
      <c r="A383" s="292">
        <f t="shared" si="129"/>
        <v>28</v>
      </c>
      <c r="B383" s="293">
        <f t="shared" si="148"/>
        <v>331</v>
      </c>
      <c r="C383" s="294">
        <f t="shared" si="130"/>
        <v>56097</v>
      </c>
      <c r="D383" s="295">
        <f t="shared" si="144"/>
        <v>836727.27423072106</v>
      </c>
      <c r="E383" s="295">
        <f t="shared" si="145"/>
        <v>-30010.234142609712</v>
      </c>
      <c r="F383" s="295">
        <f t="shared" si="136"/>
        <v>-26000.915953587515</v>
      </c>
      <c r="G383" s="295">
        <f t="shared" si="137"/>
        <v>-4009.3181890221967</v>
      </c>
      <c r="H383" s="296">
        <f t="shared" si="138"/>
        <v>810726.35827713355</v>
      </c>
      <c r="J383" s="292">
        <f t="shared" si="131"/>
        <v>0</v>
      </c>
      <c r="K383" s="293">
        <f t="shared" si="149"/>
        <v>0</v>
      </c>
      <c r="L383" s="294">
        <f t="shared" si="132"/>
        <v>0</v>
      </c>
      <c r="M383" s="295">
        <f t="shared" si="146"/>
        <v>0</v>
      </c>
      <c r="N383" s="295" t="e">
        <f t="shared" si="147"/>
        <v>#NUM!</v>
      </c>
      <c r="O383" s="295">
        <f t="shared" si="139"/>
        <v>0</v>
      </c>
      <c r="P383" s="295">
        <f t="shared" si="140"/>
        <v>0</v>
      </c>
      <c r="Q383" s="296">
        <f t="shared" si="141"/>
        <v>0</v>
      </c>
      <c r="S383" s="292">
        <f t="shared" si="133"/>
        <v>0</v>
      </c>
      <c r="T383" s="293">
        <f t="shared" si="150"/>
        <v>0</v>
      </c>
      <c r="U383" s="294">
        <f t="shared" si="134"/>
        <v>0</v>
      </c>
      <c r="V383" s="295">
        <f t="shared" si="135"/>
        <v>0</v>
      </c>
      <c r="W383" s="290" t="e">
        <f t="shared" si="151"/>
        <v>#NUM!</v>
      </c>
      <c r="X383" s="295">
        <f t="shared" si="142"/>
        <v>0</v>
      </c>
      <c r="Y383" s="295" t="e">
        <f t="shared" si="143"/>
        <v>#NUM!</v>
      </c>
      <c r="Z383" s="295">
        <f t="shared" si="152"/>
        <v>0</v>
      </c>
      <c r="AA383" s="296"/>
      <c r="AC383"/>
      <c r="AD383"/>
      <c r="AE383"/>
      <c r="AF383"/>
      <c r="AG383"/>
      <c r="AH383"/>
      <c r="AI383"/>
      <c r="AJ383"/>
    </row>
    <row r="384" spans="1:36" hidden="1">
      <c r="A384" s="287">
        <f t="shared" si="129"/>
        <v>28</v>
      </c>
      <c r="B384" s="288">
        <f t="shared" si="148"/>
        <v>332</v>
      </c>
      <c r="C384" s="289">
        <f t="shared" si="130"/>
        <v>56128</v>
      </c>
      <c r="D384" s="290">
        <f t="shared" si="144"/>
        <v>810726.35827713355</v>
      </c>
      <c r="E384" s="290">
        <f t="shared" si="145"/>
        <v>-30010.234142609712</v>
      </c>
      <c r="F384" s="290">
        <f t="shared" si="136"/>
        <v>-26125.503675865122</v>
      </c>
      <c r="G384" s="290">
        <f t="shared" si="137"/>
        <v>-3884.7304667445896</v>
      </c>
      <c r="H384" s="291">
        <f t="shared" si="138"/>
        <v>784600.85460126842</v>
      </c>
      <c r="J384" s="287">
        <f t="shared" si="131"/>
        <v>0</v>
      </c>
      <c r="K384" s="288">
        <f t="shared" si="149"/>
        <v>0</v>
      </c>
      <c r="L384" s="289">
        <f t="shared" si="132"/>
        <v>0</v>
      </c>
      <c r="M384" s="290">
        <f t="shared" si="146"/>
        <v>0</v>
      </c>
      <c r="N384" s="290" t="e">
        <f t="shared" si="147"/>
        <v>#NUM!</v>
      </c>
      <c r="O384" s="290">
        <f t="shared" si="139"/>
        <v>0</v>
      </c>
      <c r="P384" s="290">
        <f t="shared" si="140"/>
        <v>0</v>
      </c>
      <c r="Q384" s="291">
        <f t="shared" si="141"/>
        <v>0</v>
      </c>
      <c r="S384" s="287">
        <f t="shared" si="133"/>
        <v>0</v>
      </c>
      <c r="T384" s="288">
        <f t="shared" si="150"/>
        <v>0</v>
      </c>
      <c r="U384" s="289">
        <f t="shared" si="134"/>
        <v>0</v>
      </c>
      <c r="V384" s="290">
        <f t="shared" si="135"/>
        <v>0</v>
      </c>
      <c r="W384" s="290" t="e">
        <f t="shared" si="151"/>
        <v>#NUM!</v>
      </c>
      <c r="X384" s="290">
        <f t="shared" si="142"/>
        <v>0</v>
      </c>
      <c r="Y384" s="290" t="e">
        <f t="shared" si="143"/>
        <v>#NUM!</v>
      </c>
      <c r="Z384" s="290">
        <f t="shared" si="152"/>
        <v>0</v>
      </c>
      <c r="AA384" s="291"/>
      <c r="AC384"/>
      <c r="AD384"/>
      <c r="AE384"/>
      <c r="AF384"/>
      <c r="AG384"/>
      <c r="AH384"/>
      <c r="AI384"/>
      <c r="AJ384"/>
    </row>
    <row r="385" spans="1:36" hidden="1">
      <c r="A385" s="292">
        <f t="shared" si="129"/>
        <v>28</v>
      </c>
      <c r="B385" s="293">
        <f t="shared" si="148"/>
        <v>333</v>
      </c>
      <c r="C385" s="294">
        <f t="shared" si="130"/>
        <v>56158</v>
      </c>
      <c r="D385" s="295">
        <f t="shared" si="144"/>
        <v>784600.85460126842</v>
      </c>
      <c r="E385" s="295">
        <f t="shared" si="145"/>
        <v>-30010.234142609712</v>
      </c>
      <c r="F385" s="295">
        <f t="shared" si="136"/>
        <v>-26250.688380978641</v>
      </c>
      <c r="G385" s="295">
        <f t="shared" si="137"/>
        <v>-3759.5457616310687</v>
      </c>
      <c r="H385" s="296">
        <f t="shared" si="138"/>
        <v>758350.16622028977</v>
      </c>
      <c r="J385" s="292">
        <f t="shared" si="131"/>
        <v>0</v>
      </c>
      <c r="K385" s="293">
        <f t="shared" si="149"/>
        <v>0</v>
      </c>
      <c r="L385" s="294">
        <f t="shared" si="132"/>
        <v>0</v>
      </c>
      <c r="M385" s="295">
        <f t="shared" si="146"/>
        <v>0</v>
      </c>
      <c r="N385" s="295" t="e">
        <f t="shared" si="147"/>
        <v>#NUM!</v>
      </c>
      <c r="O385" s="295">
        <f t="shared" si="139"/>
        <v>0</v>
      </c>
      <c r="P385" s="295">
        <f t="shared" si="140"/>
        <v>0</v>
      </c>
      <c r="Q385" s="296">
        <f t="shared" si="141"/>
        <v>0</v>
      </c>
      <c r="S385" s="292">
        <f t="shared" si="133"/>
        <v>0</v>
      </c>
      <c r="T385" s="293">
        <f t="shared" si="150"/>
        <v>0</v>
      </c>
      <c r="U385" s="294">
        <f t="shared" si="134"/>
        <v>0</v>
      </c>
      <c r="V385" s="295">
        <f t="shared" si="135"/>
        <v>0</v>
      </c>
      <c r="W385" s="290" t="e">
        <f t="shared" si="151"/>
        <v>#NUM!</v>
      </c>
      <c r="X385" s="295">
        <f t="shared" si="142"/>
        <v>0</v>
      </c>
      <c r="Y385" s="295" t="e">
        <f t="shared" si="143"/>
        <v>#NUM!</v>
      </c>
      <c r="Z385" s="295">
        <f t="shared" si="152"/>
        <v>0</v>
      </c>
      <c r="AA385" s="296"/>
      <c r="AC385"/>
      <c r="AD385"/>
      <c r="AE385"/>
      <c r="AF385"/>
      <c r="AG385"/>
      <c r="AH385"/>
      <c r="AI385"/>
      <c r="AJ385"/>
    </row>
    <row r="386" spans="1:36" hidden="1">
      <c r="A386" s="287">
        <f t="shared" si="129"/>
        <v>28</v>
      </c>
      <c r="B386" s="288">
        <f t="shared" si="148"/>
        <v>334</v>
      </c>
      <c r="C386" s="289">
        <f t="shared" si="130"/>
        <v>56189</v>
      </c>
      <c r="D386" s="290">
        <f t="shared" si="144"/>
        <v>758350.16622028977</v>
      </c>
      <c r="E386" s="290">
        <f t="shared" si="145"/>
        <v>-30010.234142609712</v>
      </c>
      <c r="F386" s="290">
        <f t="shared" si="136"/>
        <v>-26376.472929470834</v>
      </c>
      <c r="G386" s="290">
        <f t="shared" si="137"/>
        <v>-3633.7612131388801</v>
      </c>
      <c r="H386" s="291">
        <f t="shared" si="138"/>
        <v>731973.69329081895</v>
      </c>
      <c r="J386" s="287">
        <f t="shared" si="131"/>
        <v>0</v>
      </c>
      <c r="K386" s="288">
        <f t="shared" si="149"/>
        <v>0</v>
      </c>
      <c r="L386" s="289">
        <f t="shared" si="132"/>
        <v>0</v>
      </c>
      <c r="M386" s="290">
        <f t="shared" si="146"/>
        <v>0</v>
      </c>
      <c r="N386" s="290" t="e">
        <f t="shared" si="147"/>
        <v>#NUM!</v>
      </c>
      <c r="O386" s="290">
        <f t="shared" si="139"/>
        <v>0</v>
      </c>
      <c r="P386" s="290">
        <f t="shared" si="140"/>
        <v>0</v>
      </c>
      <c r="Q386" s="291">
        <f t="shared" si="141"/>
        <v>0</v>
      </c>
      <c r="S386" s="287">
        <f t="shared" si="133"/>
        <v>0</v>
      </c>
      <c r="T386" s="288">
        <f t="shared" si="150"/>
        <v>0</v>
      </c>
      <c r="U386" s="289">
        <f t="shared" si="134"/>
        <v>0</v>
      </c>
      <c r="V386" s="290">
        <f t="shared" si="135"/>
        <v>0</v>
      </c>
      <c r="W386" s="290" t="e">
        <f t="shared" si="151"/>
        <v>#NUM!</v>
      </c>
      <c r="X386" s="290">
        <f t="shared" si="142"/>
        <v>0</v>
      </c>
      <c r="Y386" s="290" t="e">
        <f t="shared" si="143"/>
        <v>#NUM!</v>
      </c>
      <c r="Z386" s="290">
        <f t="shared" si="152"/>
        <v>0</v>
      </c>
      <c r="AA386" s="291"/>
      <c r="AC386"/>
      <c r="AD386"/>
      <c r="AE386"/>
      <c r="AF386"/>
      <c r="AG386"/>
      <c r="AH386"/>
      <c r="AI386"/>
      <c r="AJ386"/>
    </row>
    <row r="387" spans="1:36" hidden="1">
      <c r="A387" s="292">
        <f t="shared" si="129"/>
        <v>28</v>
      </c>
      <c r="B387" s="293">
        <f t="shared" si="148"/>
        <v>335</v>
      </c>
      <c r="C387" s="294">
        <f t="shared" si="130"/>
        <v>56219</v>
      </c>
      <c r="D387" s="295">
        <f t="shared" si="144"/>
        <v>731973.69329081895</v>
      </c>
      <c r="E387" s="295">
        <f t="shared" si="145"/>
        <v>-30010.234142609712</v>
      </c>
      <c r="F387" s="295">
        <f t="shared" si="136"/>
        <v>-26502.860195591216</v>
      </c>
      <c r="G387" s="295">
        <f t="shared" si="137"/>
        <v>-3507.3739470184987</v>
      </c>
      <c r="H387" s="296">
        <f t="shared" si="138"/>
        <v>705470.83309522772</v>
      </c>
      <c r="J387" s="292">
        <f t="shared" si="131"/>
        <v>0</v>
      </c>
      <c r="K387" s="293">
        <f t="shared" si="149"/>
        <v>0</v>
      </c>
      <c r="L387" s="294">
        <f t="shared" si="132"/>
        <v>0</v>
      </c>
      <c r="M387" s="295">
        <f t="shared" si="146"/>
        <v>0</v>
      </c>
      <c r="N387" s="295" t="e">
        <f t="shared" si="147"/>
        <v>#NUM!</v>
      </c>
      <c r="O387" s="295">
        <f t="shared" si="139"/>
        <v>0</v>
      </c>
      <c r="P387" s="295">
        <f t="shared" si="140"/>
        <v>0</v>
      </c>
      <c r="Q387" s="296">
        <f t="shared" si="141"/>
        <v>0</v>
      </c>
      <c r="S387" s="292">
        <f t="shared" si="133"/>
        <v>0</v>
      </c>
      <c r="T387" s="293">
        <f t="shared" si="150"/>
        <v>0</v>
      </c>
      <c r="U387" s="294">
        <f t="shared" si="134"/>
        <v>0</v>
      </c>
      <c r="V387" s="295">
        <f t="shared" si="135"/>
        <v>0</v>
      </c>
      <c r="W387" s="290" t="e">
        <f t="shared" si="151"/>
        <v>#NUM!</v>
      </c>
      <c r="X387" s="295">
        <f t="shared" si="142"/>
        <v>0</v>
      </c>
      <c r="Y387" s="295" t="e">
        <f t="shared" si="143"/>
        <v>#NUM!</v>
      </c>
      <c r="Z387" s="295">
        <f t="shared" si="152"/>
        <v>0</v>
      </c>
      <c r="AA387" s="296"/>
      <c r="AC387"/>
      <c r="AD387"/>
      <c r="AE387"/>
      <c r="AF387"/>
      <c r="AG387"/>
      <c r="AH387"/>
      <c r="AI387"/>
      <c r="AJ387"/>
    </row>
    <row r="388" spans="1:36" hidden="1">
      <c r="A388" s="287">
        <f t="shared" si="129"/>
        <v>28</v>
      </c>
      <c r="B388" s="288">
        <f t="shared" si="148"/>
        <v>336</v>
      </c>
      <c r="C388" s="289">
        <f t="shared" si="130"/>
        <v>56250</v>
      </c>
      <c r="D388" s="290">
        <f t="shared" si="144"/>
        <v>705470.83309522772</v>
      </c>
      <c r="E388" s="290">
        <f t="shared" si="145"/>
        <v>-30010.234142609712</v>
      </c>
      <c r="F388" s="290">
        <f t="shared" si="136"/>
        <v>-26629.853067361757</v>
      </c>
      <c r="G388" s="290">
        <f t="shared" si="137"/>
        <v>-3380.3810752479576</v>
      </c>
      <c r="H388" s="291">
        <f t="shared" si="138"/>
        <v>678840.98002786597</v>
      </c>
      <c r="J388" s="287">
        <f t="shared" si="131"/>
        <v>0</v>
      </c>
      <c r="K388" s="288">
        <f t="shared" si="149"/>
        <v>0</v>
      </c>
      <c r="L388" s="289">
        <f t="shared" si="132"/>
        <v>0</v>
      </c>
      <c r="M388" s="290">
        <f t="shared" si="146"/>
        <v>0</v>
      </c>
      <c r="N388" s="290" t="e">
        <f t="shared" si="147"/>
        <v>#NUM!</v>
      </c>
      <c r="O388" s="290">
        <f t="shared" si="139"/>
        <v>0</v>
      </c>
      <c r="P388" s="290">
        <f t="shared" si="140"/>
        <v>0</v>
      </c>
      <c r="Q388" s="291">
        <f t="shared" si="141"/>
        <v>0</v>
      </c>
      <c r="S388" s="287">
        <f t="shared" si="133"/>
        <v>0</v>
      </c>
      <c r="T388" s="288">
        <f t="shared" si="150"/>
        <v>0</v>
      </c>
      <c r="U388" s="289">
        <f t="shared" si="134"/>
        <v>0</v>
      </c>
      <c r="V388" s="290">
        <f t="shared" si="135"/>
        <v>0</v>
      </c>
      <c r="W388" s="290" t="e">
        <f t="shared" si="151"/>
        <v>#NUM!</v>
      </c>
      <c r="X388" s="290">
        <f t="shared" si="142"/>
        <v>0</v>
      </c>
      <c r="Y388" s="290" t="e">
        <f t="shared" si="143"/>
        <v>#NUM!</v>
      </c>
      <c r="Z388" s="290">
        <f t="shared" si="152"/>
        <v>0</v>
      </c>
      <c r="AA388" s="291"/>
      <c r="AC388"/>
      <c r="AD388"/>
      <c r="AE388"/>
      <c r="AF388"/>
      <c r="AG388"/>
      <c r="AH388"/>
      <c r="AI388"/>
      <c r="AJ388"/>
    </row>
    <row r="389" spans="1:36" hidden="1">
      <c r="A389" s="292">
        <f t="shared" si="129"/>
        <v>29</v>
      </c>
      <c r="B389" s="293">
        <f t="shared" si="148"/>
        <v>337</v>
      </c>
      <c r="C389" s="294">
        <f t="shared" si="130"/>
        <v>56281</v>
      </c>
      <c r="D389" s="295">
        <f t="shared" si="144"/>
        <v>678840.98002786597</v>
      </c>
      <c r="E389" s="295">
        <f t="shared" si="145"/>
        <v>-30010.234142609712</v>
      </c>
      <c r="F389" s="295">
        <f t="shared" si="136"/>
        <v>-26757.454446642867</v>
      </c>
      <c r="G389" s="295">
        <f t="shared" si="137"/>
        <v>-3252.779695966849</v>
      </c>
      <c r="H389" s="296">
        <f t="shared" si="138"/>
        <v>652083.52558122308</v>
      </c>
      <c r="J389" s="292">
        <f t="shared" si="131"/>
        <v>0</v>
      </c>
      <c r="K389" s="293">
        <f t="shared" si="149"/>
        <v>0</v>
      </c>
      <c r="L389" s="294">
        <f t="shared" si="132"/>
        <v>0</v>
      </c>
      <c r="M389" s="295">
        <f t="shared" si="146"/>
        <v>0</v>
      </c>
      <c r="N389" s="295" t="e">
        <f t="shared" si="147"/>
        <v>#NUM!</v>
      </c>
      <c r="O389" s="295">
        <f t="shared" si="139"/>
        <v>0</v>
      </c>
      <c r="P389" s="295">
        <f t="shared" si="140"/>
        <v>0</v>
      </c>
      <c r="Q389" s="296">
        <f t="shared" si="141"/>
        <v>0</v>
      </c>
      <c r="S389" s="292">
        <f t="shared" si="133"/>
        <v>0</v>
      </c>
      <c r="T389" s="293">
        <f t="shared" si="150"/>
        <v>0</v>
      </c>
      <c r="U389" s="294">
        <f t="shared" si="134"/>
        <v>0</v>
      </c>
      <c r="V389" s="295">
        <f t="shared" si="135"/>
        <v>0</v>
      </c>
      <c r="W389" s="290" t="e">
        <f t="shared" si="151"/>
        <v>#NUM!</v>
      </c>
      <c r="X389" s="295">
        <f t="shared" si="142"/>
        <v>0</v>
      </c>
      <c r="Y389" s="295" t="e">
        <f t="shared" si="143"/>
        <v>#NUM!</v>
      </c>
      <c r="Z389" s="295">
        <f t="shared" si="152"/>
        <v>0</v>
      </c>
      <c r="AA389" s="296"/>
      <c r="AC389"/>
      <c r="AD389"/>
      <c r="AE389"/>
      <c r="AF389"/>
      <c r="AG389"/>
      <c r="AH389"/>
      <c r="AI389"/>
      <c r="AJ389"/>
    </row>
    <row r="390" spans="1:36" hidden="1">
      <c r="A390" s="287">
        <f t="shared" si="129"/>
        <v>29</v>
      </c>
      <c r="B390" s="288">
        <f t="shared" si="148"/>
        <v>338</v>
      </c>
      <c r="C390" s="289">
        <f t="shared" si="130"/>
        <v>56309</v>
      </c>
      <c r="D390" s="290">
        <f t="shared" si="144"/>
        <v>652083.52558122308</v>
      </c>
      <c r="E390" s="290">
        <f t="shared" si="145"/>
        <v>-30010.234142609712</v>
      </c>
      <c r="F390" s="290">
        <f t="shared" si="136"/>
        <v>-26885.667249199694</v>
      </c>
      <c r="G390" s="290">
        <f t="shared" si="137"/>
        <v>-3124.5668934100186</v>
      </c>
      <c r="H390" s="291">
        <f t="shared" si="138"/>
        <v>625197.85833202337</v>
      </c>
      <c r="J390" s="287">
        <f t="shared" si="131"/>
        <v>0</v>
      </c>
      <c r="K390" s="288">
        <f t="shared" si="149"/>
        <v>0</v>
      </c>
      <c r="L390" s="289">
        <f t="shared" si="132"/>
        <v>0</v>
      </c>
      <c r="M390" s="290">
        <f t="shared" si="146"/>
        <v>0</v>
      </c>
      <c r="N390" s="290" t="e">
        <f t="shared" si="147"/>
        <v>#NUM!</v>
      </c>
      <c r="O390" s="290">
        <f t="shared" si="139"/>
        <v>0</v>
      </c>
      <c r="P390" s="290">
        <f t="shared" si="140"/>
        <v>0</v>
      </c>
      <c r="Q390" s="291">
        <f t="shared" si="141"/>
        <v>0</v>
      </c>
      <c r="S390" s="287">
        <f t="shared" si="133"/>
        <v>0</v>
      </c>
      <c r="T390" s="288">
        <f t="shared" si="150"/>
        <v>0</v>
      </c>
      <c r="U390" s="289">
        <f t="shared" si="134"/>
        <v>0</v>
      </c>
      <c r="V390" s="290">
        <f t="shared" si="135"/>
        <v>0</v>
      </c>
      <c r="W390" s="290" t="e">
        <f t="shared" si="151"/>
        <v>#NUM!</v>
      </c>
      <c r="X390" s="290">
        <f t="shared" si="142"/>
        <v>0</v>
      </c>
      <c r="Y390" s="290" t="e">
        <f t="shared" si="143"/>
        <v>#NUM!</v>
      </c>
      <c r="Z390" s="290">
        <f t="shared" si="152"/>
        <v>0</v>
      </c>
      <c r="AA390" s="291"/>
      <c r="AC390"/>
      <c r="AD390"/>
      <c r="AE390"/>
      <c r="AF390"/>
      <c r="AG390"/>
      <c r="AH390"/>
      <c r="AI390"/>
      <c r="AJ390"/>
    </row>
    <row r="391" spans="1:36" hidden="1">
      <c r="A391" s="292">
        <f t="shared" si="129"/>
        <v>29</v>
      </c>
      <c r="B391" s="293">
        <f t="shared" si="148"/>
        <v>339</v>
      </c>
      <c r="C391" s="294">
        <f t="shared" si="130"/>
        <v>56340</v>
      </c>
      <c r="D391" s="295">
        <f t="shared" si="144"/>
        <v>625197.85833202337</v>
      </c>
      <c r="E391" s="295">
        <f t="shared" si="145"/>
        <v>-30010.234142609712</v>
      </c>
      <c r="F391" s="295">
        <f t="shared" si="136"/>
        <v>-27014.494404768779</v>
      </c>
      <c r="G391" s="295">
        <f t="shared" si="137"/>
        <v>-2995.7397378409369</v>
      </c>
      <c r="H391" s="296">
        <f t="shared" si="138"/>
        <v>598183.36392725457</v>
      </c>
      <c r="J391" s="292">
        <f t="shared" si="131"/>
        <v>0</v>
      </c>
      <c r="K391" s="293">
        <f t="shared" si="149"/>
        <v>0</v>
      </c>
      <c r="L391" s="294">
        <f t="shared" si="132"/>
        <v>0</v>
      </c>
      <c r="M391" s="295">
        <f t="shared" si="146"/>
        <v>0</v>
      </c>
      <c r="N391" s="295" t="e">
        <f t="shared" si="147"/>
        <v>#NUM!</v>
      </c>
      <c r="O391" s="295">
        <f t="shared" si="139"/>
        <v>0</v>
      </c>
      <c r="P391" s="295">
        <f t="shared" si="140"/>
        <v>0</v>
      </c>
      <c r="Q391" s="296">
        <f t="shared" si="141"/>
        <v>0</v>
      </c>
      <c r="S391" s="292">
        <f t="shared" si="133"/>
        <v>0</v>
      </c>
      <c r="T391" s="293">
        <f t="shared" si="150"/>
        <v>0</v>
      </c>
      <c r="U391" s="294">
        <f t="shared" si="134"/>
        <v>0</v>
      </c>
      <c r="V391" s="295">
        <f t="shared" si="135"/>
        <v>0</v>
      </c>
      <c r="W391" s="290" t="e">
        <f t="shared" si="151"/>
        <v>#NUM!</v>
      </c>
      <c r="X391" s="295">
        <f t="shared" si="142"/>
        <v>0</v>
      </c>
      <c r="Y391" s="295" t="e">
        <f t="shared" si="143"/>
        <v>#NUM!</v>
      </c>
      <c r="Z391" s="295">
        <f t="shared" si="152"/>
        <v>0</v>
      </c>
      <c r="AA391" s="296"/>
      <c r="AC391"/>
      <c r="AD391"/>
      <c r="AE391"/>
      <c r="AF391"/>
      <c r="AG391"/>
      <c r="AH391"/>
      <c r="AI391"/>
      <c r="AJ391"/>
    </row>
    <row r="392" spans="1:36" hidden="1">
      <c r="A392" s="287">
        <f t="shared" si="129"/>
        <v>29</v>
      </c>
      <c r="B392" s="288">
        <f t="shared" si="148"/>
        <v>340</v>
      </c>
      <c r="C392" s="289">
        <f t="shared" si="130"/>
        <v>56370</v>
      </c>
      <c r="D392" s="290">
        <f t="shared" si="144"/>
        <v>598183.36392725457</v>
      </c>
      <c r="E392" s="290">
        <f t="shared" si="145"/>
        <v>-30010.234142609712</v>
      </c>
      <c r="F392" s="290">
        <f t="shared" si="136"/>
        <v>-27143.938857124962</v>
      </c>
      <c r="G392" s="290">
        <f t="shared" si="137"/>
        <v>-2866.2952854847535</v>
      </c>
      <c r="H392" s="291">
        <f t="shared" si="138"/>
        <v>571039.42507012957</v>
      </c>
      <c r="J392" s="287">
        <f t="shared" si="131"/>
        <v>0</v>
      </c>
      <c r="K392" s="288">
        <f t="shared" si="149"/>
        <v>0</v>
      </c>
      <c r="L392" s="289">
        <f t="shared" si="132"/>
        <v>0</v>
      </c>
      <c r="M392" s="290">
        <f t="shared" si="146"/>
        <v>0</v>
      </c>
      <c r="N392" s="290" t="e">
        <f t="shared" si="147"/>
        <v>#NUM!</v>
      </c>
      <c r="O392" s="290">
        <f t="shared" si="139"/>
        <v>0</v>
      </c>
      <c r="P392" s="290">
        <f t="shared" si="140"/>
        <v>0</v>
      </c>
      <c r="Q392" s="291">
        <f t="shared" si="141"/>
        <v>0</v>
      </c>
      <c r="S392" s="287">
        <f t="shared" si="133"/>
        <v>0</v>
      </c>
      <c r="T392" s="288">
        <f t="shared" si="150"/>
        <v>0</v>
      </c>
      <c r="U392" s="289">
        <f t="shared" si="134"/>
        <v>0</v>
      </c>
      <c r="V392" s="290">
        <f t="shared" si="135"/>
        <v>0</v>
      </c>
      <c r="W392" s="290" t="e">
        <f t="shared" si="151"/>
        <v>#NUM!</v>
      </c>
      <c r="X392" s="290">
        <f t="shared" si="142"/>
        <v>0</v>
      </c>
      <c r="Y392" s="290" t="e">
        <f t="shared" si="143"/>
        <v>#NUM!</v>
      </c>
      <c r="Z392" s="290">
        <f t="shared" si="152"/>
        <v>0</v>
      </c>
      <c r="AA392" s="291"/>
      <c r="AC392"/>
      <c r="AD392"/>
      <c r="AE392"/>
      <c r="AF392"/>
      <c r="AG392"/>
      <c r="AH392"/>
      <c r="AI392"/>
      <c r="AJ392"/>
    </row>
    <row r="393" spans="1:36" hidden="1">
      <c r="A393" s="292">
        <f t="shared" si="129"/>
        <v>29</v>
      </c>
      <c r="B393" s="293">
        <f t="shared" si="148"/>
        <v>341</v>
      </c>
      <c r="C393" s="294">
        <f t="shared" si="130"/>
        <v>56401</v>
      </c>
      <c r="D393" s="295">
        <f t="shared" si="144"/>
        <v>571039.42507012957</v>
      </c>
      <c r="E393" s="295">
        <f t="shared" si="145"/>
        <v>-30010.234142609712</v>
      </c>
      <c r="F393" s="295">
        <f t="shared" si="136"/>
        <v>-27274.003564148679</v>
      </c>
      <c r="G393" s="295">
        <f t="shared" si="137"/>
        <v>-2736.2305784610289</v>
      </c>
      <c r="H393" s="296">
        <f t="shared" si="138"/>
        <v>543765.42150598089</v>
      </c>
      <c r="J393" s="292">
        <f t="shared" si="131"/>
        <v>0</v>
      </c>
      <c r="K393" s="293">
        <f t="shared" si="149"/>
        <v>0</v>
      </c>
      <c r="L393" s="294">
        <f t="shared" si="132"/>
        <v>0</v>
      </c>
      <c r="M393" s="295">
        <f t="shared" si="146"/>
        <v>0</v>
      </c>
      <c r="N393" s="295" t="e">
        <f t="shared" si="147"/>
        <v>#NUM!</v>
      </c>
      <c r="O393" s="295">
        <f t="shared" si="139"/>
        <v>0</v>
      </c>
      <c r="P393" s="295">
        <f t="shared" si="140"/>
        <v>0</v>
      </c>
      <c r="Q393" s="296">
        <f t="shared" si="141"/>
        <v>0</v>
      </c>
      <c r="S393" s="292">
        <f t="shared" si="133"/>
        <v>0</v>
      </c>
      <c r="T393" s="293">
        <f t="shared" si="150"/>
        <v>0</v>
      </c>
      <c r="U393" s="294">
        <f t="shared" si="134"/>
        <v>0</v>
      </c>
      <c r="V393" s="295">
        <f t="shared" si="135"/>
        <v>0</v>
      </c>
      <c r="W393" s="290" t="e">
        <f t="shared" si="151"/>
        <v>#NUM!</v>
      </c>
      <c r="X393" s="295">
        <f t="shared" si="142"/>
        <v>0</v>
      </c>
      <c r="Y393" s="295" t="e">
        <f t="shared" si="143"/>
        <v>#NUM!</v>
      </c>
      <c r="Z393" s="295">
        <f t="shared" si="152"/>
        <v>0</v>
      </c>
      <c r="AA393" s="296"/>
      <c r="AC393"/>
      <c r="AD393"/>
      <c r="AE393"/>
      <c r="AF393"/>
      <c r="AG393"/>
      <c r="AH393"/>
      <c r="AI393"/>
      <c r="AJ393"/>
    </row>
    <row r="394" spans="1:36" hidden="1">
      <c r="A394" s="287">
        <f t="shared" si="129"/>
        <v>29</v>
      </c>
      <c r="B394" s="288">
        <f t="shared" si="148"/>
        <v>342</v>
      </c>
      <c r="C394" s="289">
        <f t="shared" si="130"/>
        <v>56431</v>
      </c>
      <c r="D394" s="290">
        <f t="shared" si="144"/>
        <v>543765.42150598089</v>
      </c>
      <c r="E394" s="290">
        <f t="shared" si="145"/>
        <v>-30010.234142609712</v>
      </c>
      <c r="F394" s="290">
        <f t="shared" si="136"/>
        <v>-27404.691497893564</v>
      </c>
      <c r="G394" s="290">
        <f t="shared" si="137"/>
        <v>-2605.5426447161503</v>
      </c>
      <c r="H394" s="291">
        <f t="shared" si="138"/>
        <v>516360.73000808735</v>
      </c>
      <c r="J394" s="287">
        <f t="shared" si="131"/>
        <v>0</v>
      </c>
      <c r="K394" s="288">
        <f t="shared" si="149"/>
        <v>0</v>
      </c>
      <c r="L394" s="289">
        <f t="shared" si="132"/>
        <v>0</v>
      </c>
      <c r="M394" s="290">
        <f t="shared" si="146"/>
        <v>0</v>
      </c>
      <c r="N394" s="290" t="e">
        <f t="shared" si="147"/>
        <v>#NUM!</v>
      </c>
      <c r="O394" s="290">
        <f t="shared" si="139"/>
        <v>0</v>
      </c>
      <c r="P394" s="290">
        <f t="shared" si="140"/>
        <v>0</v>
      </c>
      <c r="Q394" s="291">
        <f t="shared" si="141"/>
        <v>0</v>
      </c>
      <c r="S394" s="287">
        <f t="shared" si="133"/>
        <v>0</v>
      </c>
      <c r="T394" s="288">
        <f t="shared" si="150"/>
        <v>0</v>
      </c>
      <c r="U394" s="289">
        <f t="shared" si="134"/>
        <v>0</v>
      </c>
      <c r="V394" s="290">
        <f t="shared" si="135"/>
        <v>0</v>
      </c>
      <c r="W394" s="290" t="e">
        <f t="shared" si="151"/>
        <v>#NUM!</v>
      </c>
      <c r="X394" s="290">
        <f t="shared" si="142"/>
        <v>0</v>
      </c>
      <c r="Y394" s="290" t="e">
        <f t="shared" si="143"/>
        <v>#NUM!</v>
      </c>
      <c r="Z394" s="290">
        <f t="shared" si="152"/>
        <v>0</v>
      </c>
      <c r="AA394" s="291"/>
      <c r="AC394"/>
      <c r="AD394"/>
      <c r="AE394"/>
      <c r="AF394"/>
      <c r="AG394"/>
      <c r="AH394"/>
      <c r="AI394"/>
      <c r="AJ394"/>
    </row>
    <row r="395" spans="1:36" hidden="1">
      <c r="A395" s="292">
        <f t="shared" si="129"/>
        <v>29</v>
      </c>
      <c r="B395" s="293">
        <f t="shared" si="148"/>
        <v>343</v>
      </c>
      <c r="C395" s="294">
        <f t="shared" si="130"/>
        <v>56462</v>
      </c>
      <c r="D395" s="295">
        <f t="shared" si="144"/>
        <v>516360.73000808735</v>
      </c>
      <c r="E395" s="295">
        <f t="shared" si="145"/>
        <v>-30010.234142609712</v>
      </c>
      <c r="F395" s="295">
        <f t="shared" si="136"/>
        <v>-27536.005644654306</v>
      </c>
      <c r="G395" s="295">
        <f t="shared" si="137"/>
        <v>-2474.2284979554106</v>
      </c>
      <c r="H395" s="296">
        <f t="shared" si="138"/>
        <v>488824.72436343302</v>
      </c>
      <c r="J395" s="292">
        <f t="shared" si="131"/>
        <v>0</v>
      </c>
      <c r="K395" s="293">
        <f t="shared" si="149"/>
        <v>0</v>
      </c>
      <c r="L395" s="294">
        <f t="shared" si="132"/>
        <v>0</v>
      </c>
      <c r="M395" s="295">
        <f t="shared" si="146"/>
        <v>0</v>
      </c>
      <c r="N395" s="295" t="e">
        <f t="shared" si="147"/>
        <v>#NUM!</v>
      </c>
      <c r="O395" s="295">
        <f t="shared" si="139"/>
        <v>0</v>
      </c>
      <c r="P395" s="295">
        <f t="shared" si="140"/>
        <v>0</v>
      </c>
      <c r="Q395" s="296">
        <f t="shared" si="141"/>
        <v>0</v>
      </c>
      <c r="S395" s="292">
        <f t="shared" si="133"/>
        <v>0</v>
      </c>
      <c r="T395" s="293">
        <f t="shared" si="150"/>
        <v>0</v>
      </c>
      <c r="U395" s="294">
        <f t="shared" si="134"/>
        <v>0</v>
      </c>
      <c r="V395" s="295">
        <f t="shared" si="135"/>
        <v>0</v>
      </c>
      <c r="W395" s="290" t="e">
        <f t="shared" si="151"/>
        <v>#NUM!</v>
      </c>
      <c r="X395" s="295">
        <f t="shared" si="142"/>
        <v>0</v>
      </c>
      <c r="Y395" s="295" t="e">
        <f t="shared" si="143"/>
        <v>#NUM!</v>
      </c>
      <c r="Z395" s="295">
        <f t="shared" si="152"/>
        <v>0</v>
      </c>
      <c r="AA395" s="296"/>
      <c r="AC395"/>
      <c r="AD395"/>
      <c r="AE395"/>
      <c r="AF395"/>
      <c r="AG395"/>
      <c r="AH395"/>
      <c r="AI395"/>
      <c r="AJ395"/>
    </row>
    <row r="396" spans="1:36" hidden="1">
      <c r="A396" s="287">
        <f t="shared" si="129"/>
        <v>29</v>
      </c>
      <c r="B396" s="288">
        <f t="shared" si="148"/>
        <v>344</v>
      </c>
      <c r="C396" s="289">
        <f t="shared" si="130"/>
        <v>56493</v>
      </c>
      <c r="D396" s="290">
        <f t="shared" si="144"/>
        <v>488824.72436343302</v>
      </c>
      <c r="E396" s="290">
        <f t="shared" si="145"/>
        <v>-30010.234142609712</v>
      </c>
      <c r="F396" s="290">
        <f t="shared" si="136"/>
        <v>-27667.949005034938</v>
      </c>
      <c r="G396" s="290">
        <f t="shared" si="137"/>
        <v>-2342.2851375747755</v>
      </c>
      <c r="H396" s="291">
        <f t="shared" si="138"/>
        <v>461156.7753583981</v>
      </c>
      <c r="J396" s="287">
        <f t="shared" si="131"/>
        <v>0</v>
      </c>
      <c r="K396" s="288">
        <f t="shared" si="149"/>
        <v>0</v>
      </c>
      <c r="L396" s="289">
        <f t="shared" si="132"/>
        <v>0</v>
      </c>
      <c r="M396" s="290">
        <f t="shared" si="146"/>
        <v>0</v>
      </c>
      <c r="N396" s="290" t="e">
        <f t="shared" si="147"/>
        <v>#NUM!</v>
      </c>
      <c r="O396" s="290">
        <f t="shared" si="139"/>
        <v>0</v>
      </c>
      <c r="P396" s="290">
        <f t="shared" si="140"/>
        <v>0</v>
      </c>
      <c r="Q396" s="291">
        <f t="shared" si="141"/>
        <v>0</v>
      </c>
      <c r="S396" s="287">
        <f t="shared" si="133"/>
        <v>0</v>
      </c>
      <c r="T396" s="288">
        <f t="shared" si="150"/>
        <v>0</v>
      </c>
      <c r="U396" s="289">
        <f t="shared" si="134"/>
        <v>0</v>
      </c>
      <c r="V396" s="290">
        <f t="shared" si="135"/>
        <v>0</v>
      </c>
      <c r="W396" s="290" t="e">
        <f t="shared" si="151"/>
        <v>#NUM!</v>
      </c>
      <c r="X396" s="290">
        <f t="shared" si="142"/>
        <v>0</v>
      </c>
      <c r="Y396" s="290" t="e">
        <f t="shared" si="143"/>
        <v>#NUM!</v>
      </c>
      <c r="Z396" s="290">
        <f t="shared" si="152"/>
        <v>0</v>
      </c>
      <c r="AA396" s="291"/>
      <c r="AC396"/>
      <c r="AD396"/>
      <c r="AE396"/>
      <c r="AF396"/>
      <c r="AG396"/>
      <c r="AH396"/>
      <c r="AI396"/>
      <c r="AJ396"/>
    </row>
    <row r="397" spans="1:36" hidden="1">
      <c r="A397" s="292">
        <f t="shared" si="129"/>
        <v>29</v>
      </c>
      <c r="B397" s="293">
        <f t="shared" si="148"/>
        <v>345</v>
      </c>
      <c r="C397" s="294">
        <f t="shared" si="130"/>
        <v>56523</v>
      </c>
      <c r="D397" s="295">
        <f t="shared" si="144"/>
        <v>461156.7753583981</v>
      </c>
      <c r="E397" s="295">
        <f t="shared" si="145"/>
        <v>-30010.234142609712</v>
      </c>
      <c r="F397" s="295">
        <f t="shared" si="136"/>
        <v>-27800.524594017395</v>
      </c>
      <c r="G397" s="295">
        <f t="shared" si="137"/>
        <v>-2209.709548592316</v>
      </c>
      <c r="H397" s="296">
        <f t="shared" si="138"/>
        <v>433356.25076438067</v>
      </c>
      <c r="J397" s="292">
        <f t="shared" si="131"/>
        <v>0</v>
      </c>
      <c r="K397" s="293">
        <f t="shared" si="149"/>
        <v>0</v>
      </c>
      <c r="L397" s="294">
        <f t="shared" si="132"/>
        <v>0</v>
      </c>
      <c r="M397" s="295">
        <f t="shared" si="146"/>
        <v>0</v>
      </c>
      <c r="N397" s="295" t="e">
        <f t="shared" si="147"/>
        <v>#NUM!</v>
      </c>
      <c r="O397" s="295">
        <f t="shared" si="139"/>
        <v>0</v>
      </c>
      <c r="P397" s="295">
        <f t="shared" si="140"/>
        <v>0</v>
      </c>
      <c r="Q397" s="296">
        <f t="shared" si="141"/>
        <v>0</v>
      </c>
      <c r="S397" s="292">
        <f t="shared" si="133"/>
        <v>0</v>
      </c>
      <c r="T397" s="293">
        <f t="shared" si="150"/>
        <v>0</v>
      </c>
      <c r="U397" s="294">
        <f t="shared" si="134"/>
        <v>0</v>
      </c>
      <c r="V397" s="295">
        <f t="shared" si="135"/>
        <v>0</v>
      </c>
      <c r="W397" s="290" t="e">
        <f t="shared" si="151"/>
        <v>#NUM!</v>
      </c>
      <c r="X397" s="295">
        <f t="shared" si="142"/>
        <v>0</v>
      </c>
      <c r="Y397" s="295" t="e">
        <f t="shared" si="143"/>
        <v>#NUM!</v>
      </c>
      <c r="Z397" s="295">
        <f t="shared" si="152"/>
        <v>0</v>
      </c>
      <c r="AA397" s="296"/>
      <c r="AC397"/>
      <c r="AD397"/>
      <c r="AE397"/>
      <c r="AF397"/>
      <c r="AG397"/>
      <c r="AH397"/>
      <c r="AI397"/>
      <c r="AJ397"/>
    </row>
    <row r="398" spans="1:36" hidden="1">
      <c r="A398" s="287">
        <f t="shared" si="129"/>
        <v>29</v>
      </c>
      <c r="B398" s="288">
        <f t="shared" si="148"/>
        <v>346</v>
      </c>
      <c r="C398" s="289">
        <f t="shared" si="130"/>
        <v>56554</v>
      </c>
      <c r="D398" s="290">
        <f t="shared" si="144"/>
        <v>433356.25076438067</v>
      </c>
      <c r="E398" s="290">
        <f t="shared" si="145"/>
        <v>-30010.234142609712</v>
      </c>
      <c r="F398" s="290">
        <f t="shared" si="136"/>
        <v>-27933.7354410304</v>
      </c>
      <c r="G398" s="290">
        <f t="shared" si="137"/>
        <v>-2076.4987015793158</v>
      </c>
      <c r="H398" s="291">
        <f t="shared" si="138"/>
        <v>405422.51532335026</v>
      </c>
      <c r="J398" s="287">
        <f t="shared" si="131"/>
        <v>0</v>
      </c>
      <c r="K398" s="288">
        <f t="shared" si="149"/>
        <v>0</v>
      </c>
      <c r="L398" s="289">
        <f t="shared" si="132"/>
        <v>0</v>
      </c>
      <c r="M398" s="290">
        <f t="shared" si="146"/>
        <v>0</v>
      </c>
      <c r="N398" s="290" t="e">
        <f t="shared" si="147"/>
        <v>#NUM!</v>
      </c>
      <c r="O398" s="290">
        <f t="shared" si="139"/>
        <v>0</v>
      </c>
      <c r="P398" s="290">
        <f t="shared" si="140"/>
        <v>0</v>
      </c>
      <c r="Q398" s="291">
        <f t="shared" si="141"/>
        <v>0</v>
      </c>
      <c r="S398" s="287">
        <f t="shared" si="133"/>
        <v>0</v>
      </c>
      <c r="T398" s="288">
        <f t="shared" si="150"/>
        <v>0</v>
      </c>
      <c r="U398" s="289">
        <f t="shared" si="134"/>
        <v>0</v>
      </c>
      <c r="V398" s="290">
        <f t="shared" si="135"/>
        <v>0</v>
      </c>
      <c r="W398" s="290" t="e">
        <f t="shared" si="151"/>
        <v>#NUM!</v>
      </c>
      <c r="X398" s="290">
        <f t="shared" si="142"/>
        <v>0</v>
      </c>
      <c r="Y398" s="290" t="e">
        <f t="shared" si="143"/>
        <v>#NUM!</v>
      </c>
      <c r="Z398" s="290">
        <f t="shared" si="152"/>
        <v>0</v>
      </c>
      <c r="AA398" s="291"/>
      <c r="AC398"/>
      <c r="AD398"/>
      <c r="AE398"/>
      <c r="AF398"/>
      <c r="AG398"/>
      <c r="AH398"/>
      <c r="AI398"/>
      <c r="AJ398"/>
    </row>
    <row r="399" spans="1:36" hidden="1">
      <c r="A399" s="292">
        <f t="shared" si="129"/>
        <v>29</v>
      </c>
      <c r="B399" s="293">
        <f t="shared" si="148"/>
        <v>347</v>
      </c>
      <c r="C399" s="294">
        <f t="shared" si="130"/>
        <v>56584</v>
      </c>
      <c r="D399" s="295">
        <f t="shared" si="144"/>
        <v>405422.51532335026</v>
      </c>
      <c r="E399" s="295">
        <f t="shared" si="145"/>
        <v>-30010.234142609712</v>
      </c>
      <c r="F399" s="295">
        <f t="shared" si="136"/>
        <v>-28067.584590018669</v>
      </c>
      <c r="G399" s="295">
        <f t="shared" si="137"/>
        <v>-1942.649552591045</v>
      </c>
      <c r="H399" s="296">
        <f t="shared" si="138"/>
        <v>377354.9307333316</v>
      </c>
      <c r="J399" s="292">
        <f t="shared" si="131"/>
        <v>0</v>
      </c>
      <c r="K399" s="293">
        <f t="shared" si="149"/>
        <v>0</v>
      </c>
      <c r="L399" s="294">
        <f t="shared" si="132"/>
        <v>0</v>
      </c>
      <c r="M399" s="295">
        <f t="shared" si="146"/>
        <v>0</v>
      </c>
      <c r="N399" s="295" t="e">
        <f t="shared" si="147"/>
        <v>#NUM!</v>
      </c>
      <c r="O399" s="295">
        <f t="shared" si="139"/>
        <v>0</v>
      </c>
      <c r="P399" s="295">
        <f t="shared" si="140"/>
        <v>0</v>
      </c>
      <c r="Q399" s="296">
        <f t="shared" si="141"/>
        <v>0</v>
      </c>
      <c r="S399" s="292">
        <f t="shared" si="133"/>
        <v>0</v>
      </c>
      <c r="T399" s="293">
        <f t="shared" si="150"/>
        <v>0</v>
      </c>
      <c r="U399" s="294">
        <f t="shared" si="134"/>
        <v>0</v>
      </c>
      <c r="V399" s="295">
        <f t="shared" si="135"/>
        <v>0</v>
      </c>
      <c r="W399" s="290" t="e">
        <f t="shared" si="151"/>
        <v>#NUM!</v>
      </c>
      <c r="X399" s="295">
        <f t="shared" si="142"/>
        <v>0</v>
      </c>
      <c r="Y399" s="295" t="e">
        <f t="shared" si="143"/>
        <v>#NUM!</v>
      </c>
      <c r="Z399" s="295">
        <f t="shared" si="152"/>
        <v>0</v>
      </c>
      <c r="AA399" s="296"/>
      <c r="AC399"/>
      <c r="AD399"/>
      <c r="AE399"/>
      <c r="AF399"/>
      <c r="AG399"/>
      <c r="AH399"/>
      <c r="AI399"/>
      <c r="AJ399"/>
    </row>
    <row r="400" spans="1:36" hidden="1">
      <c r="A400" s="287">
        <f t="shared" si="129"/>
        <v>29</v>
      </c>
      <c r="B400" s="288">
        <f t="shared" si="148"/>
        <v>348</v>
      </c>
      <c r="C400" s="289">
        <f t="shared" si="130"/>
        <v>56615</v>
      </c>
      <c r="D400" s="290">
        <f t="shared" si="144"/>
        <v>377354.9307333316</v>
      </c>
      <c r="E400" s="290">
        <f t="shared" si="145"/>
        <v>-30010.234142609712</v>
      </c>
      <c r="F400" s="290">
        <f t="shared" si="136"/>
        <v>-28202.075099512509</v>
      </c>
      <c r="G400" s="290">
        <f t="shared" si="137"/>
        <v>-1808.1590430972058</v>
      </c>
      <c r="H400" s="291">
        <f t="shared" si="138"/>
        <v>349152.85563381907</v>
      </c>
      <c r="J400" s="287">
        <f t="shared" si="131"/>
        <v>0</v>
      </c>
      <c r="K400" s="288">
        <f t="shared" si="149"/>
        <v>0</v>
      </c>
      <c r="L400" s="289">
        <f t="shared" si="132"/>
        <v>0</v>
      </c>
      <c r="M400" s="290">
        <f t="shared" si="146"/>
        <v>0</v>
      </c>
      <c r="N400" s="290" t="e">
        <f t="shared" si="147"/>
        <v>#NUM!</v>
      </c>
      <c r="O400" s="290">
        <f t="shared" si="139"/>
        <v>0</v>
      </c>
      <c r="P400" s="290">
        <f t="shared" si="140"/>
        <v>0</v>
      </c>
      <c r="Q400" s="291">
        <f t="shared" si="141"/>
        <v>0</v>
      </c>
      <c r="S400" s="287">
        <f t="shared" si="133"/>
        <v>0</v>
      </c>
      <c r="T400" s="288">
        <f t="shared" si="150"/>
        <v>0</v>
      </c>
      <c r="U400" s="289">
        <f t="shared" si="134"/>
        <v>0</v>
      </c>
      <c r="V400" s="290">
        <f t="shared" si="135"/>
        <v>0</v>
      </c>
      <c r="W400" s="290" t="e">
        <f t="shared" si="151"/>
        <v>#NUM!</v>
      </c>
      <c r="X400" s="290">
        <f t="shared" si="142"/>
        <v>0</v>
      </c>
      <c r="Y400" s="290" t="e">
        <f t="shared" si="143"/>
        <v>#NUM!</v>
      </c>
      <c r="Z400" s="290">
        <f t="shared" si="152"/>
        <v>0</v>
      </c>
      <c r="AA400" s="291"/>
      <c r="AC400"/>
      <c r="AD400"/>
      <c r="AE400"/>
      <c r="AF400"/>
      <c r="AG400"/>
      <c r="AH400"/>
      <c r="AI400"/>
      <c r="AJ400"/>
    </row>
    <row r="401" spans="1:36" hidden="1">
      <c r="A401" s="292">
        <f t="shared" si="129"/>
        <v>30</v>
      </c>
      <c r="B401" s="293">
        <f t="shared" si="148"/>
        <v>349</v>
      </c>
      <c r="C401" s="294">
        <f t="shared" si="130"/>
        <v>56646</v>
      </c>
      <c r="D401" s="295">
        <f t="shared" si="144"/>
        <v>349152.85563381907</v>
      </c>
      <c r="E401" s="295">
        <f t="shared" si="145"/>
        <v>-30010.234142609712</v>
      </c>
      <c r="F401" s="295">
        <f t="shared" si="136"/>
        <v>-28337.210042697669</v>
      </c>
      <c r="G401" s="295">
        <f t="shared" si="137"/>
        <v>-1673.0240999120417</v>
      </c>
      <c r="H401" s="296">
        <f t="shared" si="138"/>
        <v>320815.6455911214</v>
      </c>
      <c r="J401" s="292">
        <f t="shared" si="131"/>
        <v>0</v>
      </c>
      <c r="K401" s="293">
        <f t="shared" si="149"/>
        <v>0</v>
      </c>
      <c r="L401" s="294">
        <f t="shared" si="132"/>
        <v>0</v>
      </c>
      <c r="M401" s="295">
        <f t="shared" si="146"/>
        <v>0</v>
      </c>
      <c r="N401" s="295" t="e">
        <f t="shared" si="147"/>
        <v>#NUM!</v>
      </c>
      <c r="O401" s="295">
        <f t="shared" si="139"/>
        <v>0</v>
      </c>
      <c r="P401" s="295">
        <f t="shared" si="140"/>
        <v>0</v>
      </c>
      <c r="Q401" s="296">
        <f t="shared" si="141"/>
        <v>0</v>
      </c>
      <c r="S401" s="292">
        <f t="shared" si="133"/>
        <v>0</v>
      </c>
      <c r="T401" s="293">
        <f t="shared" si="150"/>
        <v>0</v>
      </c>
      <c r="U401" s="294">
        <f t="shared" si="134"/>
        <v>0</v>
      </c>
      <c r="V401" s="295">
        <f t="shared" si="135"/>
        <v>0</v>
      </c>
      <c r="W401" s="290" t="e">
        <f t="shared" si="151"/>
        <v>#NUM!</v>
      </c>
      <c r="X401" s="295">
        <f t="shared" si="142"/>
        <v>0</v>
      </c>
      <c r="Y401" s="295" t="e">
        <f t="shared" si="143"/>
        <v>#NUM!</v>
      </c>
      <c r="Z401" s="295">
        <f t="shared" si="152"/>
        <v>0</v>
      </c>
      <c r="AA401" s="296"/>
      <c r="AC401"/>
      <c r="AD401"/>
      <c r="AE401"/>
      <c r="AF401"/>
      <c r="AG401"/>
      <c r="AH401"/>
      <c r="AI401"/>
      <c r="AJ401"/>
    </row>
    <row r="402" spans="1:36" hidden="1">
      <c r="A402" s="287">
        <f t="shared" si="129"/>
        <v>30</v>
      </c>
      <c r="B402" s="288">
        <f t="shared" si="148"/>
        <v>350</v>
      </c>
      <c r="C402" s="289">
        <f t="shared" si="130"/>
        <v>56674</v>
      </c>
      <c r="D402" s="290">
        <f t="shared" si="144"/>
        <v>320815.6455911214</v>
      </c>
      <c r="E402" s="290">
        <f t="shared" si="145"/>
        <v>-30010.234142609712</v>
      </c>
      <c r="F402" s="290">
        <f t="shared" si="136"/>
        <v>-28472.992507485596</v>
      </c>
      <c r="G402" s="290">
        <f t="shared" si="137"/>
        <v>-1537.2416351241154</v>
      </c>
      <c r="H402" s="291">
        <f t="shared" si="138"/>
        <v>292342.65308363579</v>
      </c>
      <c r="J402" s="287">
        <f t="shared" si="131"/>
        <v>0</v>
      </c>
      <c r="K402" s="288">
        <f t="shared" si="149"/>
        <v>0</v>
      </c>
      <c r="L402" s="289">
        <f t="shared" si="132"/>
        <v>0</v>
      </c>
      <c r="M402" s="290">
        <f t="shared" si="146"/>
        <v>0</v>
      </c>
      <c r="N402" s="290" t="e">
        <f t="shared" si="147"/>
        <v>#NUM!</v>
      </c>
      <c r="O402" s="290">
        <f t="shared" si="139"/>
        <v>0</v>
      </c>
      <c r="P402" s="290">
        <f t="shared" si="140"/>
        <v>0</v>
      </c>
      <c r="Q402" s="291">
        <f t="shared" si="141"/>
        <v>0</v>
      </c>
      <c r="S402" s="287">
        <f t="shared" si="133"/>
        <v>0</v>
      </c>
      <c r="T402" s="288">
        <f t="shared" si="150"/>
        <v>0</v>
      </c>
      <c r="U402" s="289">
        <f t="shared" si="134"/>
        <v>0</v>
      </c>
      <c r="V402" s="290">
        <f t="shared" si="135"/>
        <v>0</v>
      </c>
      <c r="W402" s="290" t="e">
        <f t="shared" si="151"/>
        <v>#NUM!</v>
      </c>
      <c r="X402" s="290">
        <f t="shared" si="142"/>
        <v>0</v>
      </c>
      <c r="Y402" s="290" t="e">
        <f t="shared" si="143"/>
        <v>#NUM!</v>
      </c>
      <c r="Z402" s="290">
        <f t="shared" si="152"/>
        <v>0</v>
      </c>
      <c r="AA402" s="291"/>
      <c r="AC402"/>
      <c r="AD402"/>
      <c r="AE402"/>
      <c r="AF402"/>
      <c r="AG402"/>
      <c r="AH402"/>
      <c r="AI402"/>
      <c r="AJ402"/>
    </row>
    <row r="403" spans="1:36" hidden="1">
      <c r="A403" s="292">
        <f t="shared" si="129"/>
        <v>30</v>
      </c>
      <c r="B403" s="293">
        <f t="shared" si="148"/>
        <v>351</v>
      </c>
      <c r="C403" s="294">
        <f t="shared" si="130"/>
        <v>56705</v>
      </c>
      <c r="D403" s="295">
        <f t="shared" si="144"/>
        <v>292342.65308363579</v>
      </c>
      <c r="E403" s="295">
        <f t="shared" si="145"/>
        <v>-30010.234142609712</v>
      </c>
      <c r="F403" s="295">
        <f t="shared" si="136"/>
        <v>-28609.425596583969</v>
      </c>
      <c r="G403" s="295">
        <f t="shared" si="137"/>
        <v>-1400.8085460257469</v>
      </c>
      <c r="H403" s="296">
        <f t="shared" si="138"/>
        <v>263733.2274870518</v>
      </c>
      <c r="J403" s="292">
        <f t="shared" si="131"/>
        <v>0</v>
      </c>
      <c r="K403" s="293">
        <f t="shared" si="149"/>
        <v>0</v>
      </c>
      <c r="L403" s="294">
        <f t="shared" si="132"/>
        <v>0</v>
      </c>
      <c r="M403" s="295">
        <f t="shared" si="146"/>
        <v>0</v>
      </c>
      <c r="N403" s="295" t="e">
        <f t="shared" si="147"/>
        <v>#NUM!</v>
      </c>
      <c r="O403" s="295">
        <f t="shared" si="139"/>
        <v>0</v>
      </c>
      <c r="P403" s="295">
        <f t="shared" si="140"/>
        <v>0</v>
      </c>
      <c r="Q403" s="296">
        <f t="shared" si="141"/>
        <v>0</v>
      </c>
      <c r="S403" s="292">
        <f t="shared" si="133"/>
        <v>0</v>
      </c>
      <c r="T403" s="293">
        <f t="shared" si="150"/>
        <v>0</v>
      </c>
      <c r="U403" s="294">
        <f t="shared" si="134"/>
        <v>0</v>
      </c>
      <c r="V403" s="295">
        <f t="shared" si="135"/>
        <v>0</v>
      </c>
      <c r="W403" s="290" t="e">
        <f t="shared" si="151"/>
        <v>#NUM!</v>
      </c>
      <c r="X403" s="295">
        <f t="shared" si="142"/>
        <v>0</v>
      </c>
      <c r="Y403" s="295" t="e">
        <f t="shared" si="143"/>
        <v>#NUM!</v>
      </c>
      <c r="Z403" s="295">
        <f t="shared" si="152"/>
        <v>0</v>
      </c>
      <c r="AA403" s="296"/>
      <c r="AC403"/>
      <c r="AD403"/>
      <c r="AE403"/>
      <c r="AF403"/>
      <c r="AG403"/>
      <c r="AH403"/>
      <c r="AI403"/>
      <c r="AJ403"/>
    </row>
    <row r="404" spans="1:36" hidden="1">
      <c r="A404" s="287">
        <f t="shared" si="129"/>
        <v>30</v>
      </c>
      <c r="B404" s="288">
        <f t="shared" si="148"/>
        <v>352</v>
      </c>
      <c r="C404" s="289">
        <f t="shared" si="130"/>
        <v>56735</v>
      </c>
      <c r="D404" s="290">
        <f t="shared" si="144"/>
        <v>263733.2274870518</v>
      </c>
      <c r="E404" s="290">
        <f t="shared" si="145"/>
        <v>-30010.234142609712</v>
      </c>
      <c r="F404" s="290">
        <f t="shared" si="136"/>
        <v>-28746.512427567599</v>
      </c>
      <c r="G404" s="290">
        <f t="shared" si="137"/>
        <v>-1263.7217150421152</v>
      </c>
      <c r="H404" s="291">
        <f t="shared" si="138"/>
        <v>234986.71505948421</v>
      </c>
      <c r="J404" s="287">
        <f t="shared" si="131"/>
        <v>0</v>
      </c>
      <c r="K404" s="288">
        <f t="shared" si="149"/>
        <v>0</v>
      </c>
      <c r="L404" s="289">
        <f t="shared" si="132"/>
        <v>0</v>
      </c>
      <c r="M404" s="290">
        <f t="shared" si="146"/>
        <v>0</v>
      </c>
      <c r="N404" s="290" t="e">
        <f t="shared" si="147"/>
        <v>#NUM!</v>
      </c>
      <c r="O404" s="290">
        <f t="shared" si="139"/>
        <v>0</v>
      </c>
      <c r="P404" s="290">
        <f t="shared" si="140"/>
        <v>0</v>
      </c>
      <c r="Q404" s="291">
        <f t="shared" si="141"/>
        <v>0</v>
      </c>
      <c r="S404" s="287">
        <f t="shared" si="133"/>
        <v>0</v>
      </c>
      <c r="T404" s="288">
        <f t="shared" si="150"/>
        <v>0</v>
      </c>
      <c r="U404" s="289">
        <f t="shared" si="134"/>
        <v>0</v>
      </c>
      <c r="V404" s="290">
        <f t="shared" si="135"/>
        <v>0</v>
      </c>
      <c r="W404" s="290" t="e">
        <f t="shared" si="151"/>
        <v>#NUM!</v>
      </c>
      <c r="X404" s="290">
        <f t="shared" si="142"/>
        <v>0</v>
      </c>
      <c r="Y404" s="290" t="e">
        <f t="shared" si="143"/>
        <v>#NUM!</v>
      </c>
      <c r="Z404" s="290">
        <f t="shared" si="152"/>
        <v>0</v>
      </c>
      <c r="AA404" s="291"/>
      <c r="AC404"/>
      <c r="AD404"/>
      <c r="AE404"/>
      <c r="AF404"/>
      <c r="AG404"/>
      <c r="AH404"/>
      <c r="AI404"/>
      <c r="AJ404"/>
    </row>
    <row r="405" spans="1:36" hidden="1">
      <c r="A405" s="292">
        <f t="shared" si="129"/>
        <v>30</v>
      </c>
      <c r="B405" s="293">
        <f t="shared" si="148"/>
        <v>353</v>
      </c>
      <c r="C405" s="294">
        <f t="shared" si="130"/>
        <v>56766</v>
      </c>
      <c r="D405" s="295">
        <f t="shared" si="144"/>
        <v>234986.71505948421</v>
      </c>
      <c r="E405" s="295">
        <f t="shared" si="145"/>
        <v>-30010.234142609712</v>
      </c>
      <c r="F405" s="295">
        <f t="shared" si="136"/>
        <v>-28884.256132949693</v>
      </c>
      <c r="G405" s="295">
        <f t="shared" si="137"/>
        <v>-1125.9780096600207</v>
      </c>
      <c r="H405" s="296">
        <f t="shared" si="138"/>
        <v>206102.45892653451</v>
      </c>
      <c r="J405" s="292">
        <f t="shared" si="131"/>
        <v>0</v>
      </c>
      <c r="K405" s="293">
        <f t="shared" si="149"/>
        <v>0</v>
      </c>
      <c r="L405" s="294">
        <f t="shared" si="132"/>
        <v>0</v>
      </c>
      <c r="M405" s="295">
        <f t="shared" si="146"/>
        <v>0</v>
      </c>
      <c r="N405" s="295" t="e">
        <f t="shared" si="147"/>
        <v>#NUM!</v>
      </c>
      <c r="O405" s="295">
        <f t="shared" si="139"/>
        <v>0</v>
      </c>
      <c r="P405" s="295">
        <f t="shared" si="140"/>
        <v>0</v>
      </c>
      <c r="Q405" s="296">
        <f t="shared" si="141"/>
        <v>0</v>
      </c>
      <c r="S405" s="292">
        <f t="shared" si="133"/>
        <v>0</v>
      </c>
      <c r="T405" s="293">
        <f t="shared" si="150"/>
        <v>0</v>
      </c>
      <c r="U405" s="294">
        <f t="shared" si="134"/>
        <v>0</v>
      </c>
      <c r="V405" s="295">
        <f t="shared" si="135"/>
        <v>0</v>
      </c>
      <c r="W405" s="290" t="e">
        <f t="shared" si="151"/>
        <v>#NUM!</v>
      </c>
      <c r="X405" s="295">
        <f t="shared" si="142"/>
        <v>0</v>
      </c>
      <c r="Y405" s="295" t="e">
        <f t="shared" si="143"/>
        <v>#NUM!</v>
      </c>
      <c r="Z405" s="295">
        <f t="shared" si="152"/>
        <v>0</v>
      </c>
      <c r="AA405" s="296"/>
      <c r="AC405"/>
      <c r="AD405"/>
      <c r="AE405"/>
      <c r="AF405"/>
      <c r="AG405"/>
      <c r="AH405"/>
      <c r="AI405"/>
      <c r="AJ405"/>
    </row>
    <row r="406" spans="1:36" hidden="1">
      <c r="A406" s="287">
        <f t="shared" si="129"/>
        <v>30</v>
      </c>
      <c r="B406" s="288">
        <f t="shared" si="148"/>
        <v>354</v>
      </c>
      <c r="C406" s="289">
        <f t="shared" si="130"/>
        <v>56796</v>
      </c>
      <c r="D406" s="290">
        <f t="shared" si="144"/>
        <v>206102.45892653451</v>
      </c>
      <c r="E406" s="290">
        <f t="shared" si="145"/>
        <v>-30010.234142609712</v>
      </c>
      <c r="F406" s="290">
        <f t="shared" si="136"/>
        <v>-29022.65986025341</v>
      </c>
      <c r="G406" s="290">
        <f t="shared" si="137"/>
        <v>-987.57428235630334</v>
      </c>
      <c r="H406" s="291">
        <f t="shared" si="138"/>
        <v>177079.79906628109</v>
      </c>
      <c r="J406" s="287">
        <f t="shared" si="131"/>
        <v>0</v>
      </c>
      <c r="K406" s="288">
        <f t="shared" si="149"/>
        <v>0</v>
      </c>
      <c r="L406" s="289">
        <f t="shared" si="132"/>
        <v>0</v>
      </c>
      <c r="M406" s="290">
        <f t="shared" si="146"/>
        <v>0</v>
      </c>
      <c r="N406" s="290" t="e">
        <f t="shared" si="147"/>
        <v>#NUM!</v>
      </c>
      <c r="O406" s="290">
        <f t="shared" si="139"/>
        <v>0</v>
      </c>
      <c r="P406" s="290">
        <f t="shared" si="140"/>
        <v>0</v>
      </c>
      <c r="Q406" s="291">
        <f t="shared" si="141"/>
        <v>0</v>
      </c>
      <c r="S406" s="287">
        <f t="shared" si="133"/>
        <v>0</v>
      </c>
      <c r="T406" s="288">
        <f t="shared" si="150"/>
        <v>0</v>
      </c>
      <c r="U406" s="289">
        <f t="shared" si="134"/>
        <v>0</v>
      </c>
      <c r="V406" s="290">
        <f t="shared" si="135"/>
        <v>0</v>
      </c>
      <c r="W406" s="290" t="e">
        <f t="shared" si="151"/>
        <v>#NUM!</v>
      </c>
      <c r="X406" s="290">
        <f t="shared" si="142"/>
        <v>0</v>
      </c>
      <c r="Y406" s="290" t="e">
        <f t="shared" si="143"/>
        <v>#NUM!</v>
      </c>
      <c r="Z406" s="290">
        <f t="shared" si="152"/>
        <v>0</v>
      </c>
      <c r="AA406" s="291"/>
      <c r="AC406"/>
      <c r="AD406"/>
      <c r="AE406"/>
      <c r="AF406"/>
      <c r="AG406"/>
      <c r="AH406"/>
      <c r="AI406"/>
      <c r="AJ406"/>
    </row>
    <row r="407" spans="1:36" hidden="1">
      <c r="A407" s="292">
        <f t="shared" si="129"/>
        <v>30</v>
      </c>
      <c r="B407" s="293">
        <f t="shared" si="148"/>
        <v>355</v>
      </c>
      <c r="C407" s="294">
        <f t="shared" si="130"/>
        <v>56827</v>
      </c>
      <c r="D407" s="295">
        <f t="shared" si="144"/>
        <v>177079.79906628109</v>
      </c>
      <c r="E407" s="295">
        <f t="shared" si="145"/>
        <v>-30010.234142609712</v>
      </c>
      <c r="F407" s="295">
        <f t="shared" si="136"/>
        <v>-29161.726772083788</v>
      </c>
      <c r="G407" s="295">
        <f t="shared" si="137"/>
        <v>-848.50737052592251</v>
      </c>
      <c r="H407" s="296">
        <f t="shared" si="138"/>
        <v>147918.07229419731</v>
      </c>
      <c r="J407" s="292">
        <f t="shared" si="131"/>
        <v>0</v>
      </c>
      <c r="K407" s="293">
        <f t="shared" si="149"/>
        <v>0</v>
      </c>
      <c r="L407" s="294">
        <f t="shared" si="132"/>
        <v>0</v>
      </c>
      <c r="M407" s="295">
        <f t="shared" si="146"/>
        <v>0</v>
      </c>
      <c r="N407" s="295" t="e">
        <f t="shared" si="147"/>
        <v>#NUM!</v>
      </c>
      <c r="O407" s="295">
        <f t="shared" si="139"/>
        <v>0</v>
      </c>
      <c r="P407" s="295">
        <f t="shared" si="140"/>
        <v>0</v>
      </c>
      <c r="Q407" s="296">
        <f t="shared" si="141"/>
        <v>0</v>
      </c>
      <c r="S407" s="292">
        <f t="shared" si="133"/>
        <v>0</v>
      </c>
      <c r="T407" s="293">
        <f t="shared" si="150"/>
        <v>0</v>
      </c>
      <c r="U407" s="294">
        <f t="shared" si="134"/>
        <v>0</v>
      </c>
      <c r="V407" s="295">
        <f t="shared" si="135"/>
        <v>0</v>
      </c>
      <c r="W407" s="290" t="e">
        <f t="shared" si="151"/>
        <v>#NUM!</v>
      </c>
      <c r="X407" s="295">
        <f t="shared" si="142"/>
        <v>0</v>
      </c>
      <c r="Y407" s="295" t="e">
        <f t="shared" si="143"/>
        <v>#NUM!</v>
      </c>
      <c r="Z407" s="295">
        <f t="shared" si="152"/>
        <v>0</v>
      </c>
      <c r="AA407" s="296"/>
      <c r="AC407"/>
      <c r="AD407"/>
      <c r="AE407"/>
      <c r="AF407"/>
      <c r="AG407"/>
      <c r="AH407"/>
      <c r="AI407"/>
      <c r="AJ407"/>
    </row>
    <row r="408" spans="1:36" hidden="1">
      <c r="A408" s="287">
        <f t="shared" si="129"/>
        <v>30</v>
      </c>
      <c r="B408" s="288">
        <f t="shared" si="148"/>
        <v>356</v>
      </c>
      <c r="C408" s="289">
        <f t="shared" si="130"/>
        <v>56858</v>
      </c>
      <c r="D408" s="290">
        <f t="shared" si="144"/>
        <v>147918.07229419731</v>
      </c>
      <c r="E408" s="290">
        <f t="shared" si="145"/>
        <v>-30010.234142609712</v>
      </c>
      <c r="F408" s="290">
        <f t="shared" si="136"/>
        <v>-29301.460046200027</v>
      </c>
      <c r="G408" s="290">
        <f t="shared" si="137"/>
        <v>-708.77409640968756</v>
      </c>
      <c r="H408" s="291">
        <f t="shared" si="138"/>
        <v>118616.61224799728</v>
      </c>
      <c r="J408" s="287">
        <f t="shared" si="131"/>
        <v>0</v>
      </c>
      <c r="K408" s="288">
        <f t="shared" si="149"/>
        <v>0</v>
      </c>
      <c r="L408" s="289">
        <f t="shared" si="132"/>
        <v>0</v>
      </c>
      <c r="M408" s="290">
        <f t="shared" si="146"/>
        <v>0</v>
      </c>
      <c r="N408" s="290" t="e">
        <f t="shared" si="147"/>
        <v>#NUM!</v>
      </c>
      <c r="O408" s="290">
        <f t="shared" si="139"/>
        <v>0</v>
      </c>
      <c r="P408" s="290">
        <f t="shared" si="140"/>
        <v>0</v>
      </c>
      <c r="Q408" s="291">
        <f t="shared" si="141"/>
        <v>0</v>
      </c>
      <c r="S408" s="287">
        <f t="shared" si="133"/>
        <v>0</v>
      </c>
      <c r="T408" s="288">
        <f t="shared" si="150"/>
        <v>0</v>
      </c>
      <c r="U408" s="289">
        <f t="shared" si="134"/>
        <v>0</v>
      </c>
      <c r="V408" s="290">
        <f t="shared" si="135"/>
        <v>0</v>
      </c>
      <c r="W408" s="290" t="e">
        <f t="shared" si="151"/>
        <v>#NUM!</v>
      </c>
      <c r="X408" s="290">
        <f t="shared" si="142"/>
        <v>0</v>
      </c>
      <c r="Y408" s="290" t="e">
        <f t="shared" si="143"/>
        <v>#NUM!</v>
      </c>
      <c r="Z408" s="290">
        <f t="shared" si="152"/>
        <v>0</v>
      </c>
      <c r="AA408" s="291"/>
      <c r="AC408"/>
      <c r="AD408"/>
      <c r="AE408"/>
      <c r="AF408"/>
      <c r="AG408"/>
      <c r="AH408"/>
      <c r="AI408"/>
      <c r="AJ408"/>
    </row>
    <row r="409" spans="1:36" hidden="1">
      <c r="A409" s="292">
        <f t="shared" si="129"/>
        <v>30</v>
      </c>
      <c r="B409" s="293">
        <f t="shared" si="148"/>
        <v>357</v>
      </c>
      <c r="C409" s="294">
        <f t="shared" si="130"/>
        <v>56888</v>
      </c>
      <c r="D409" s="295">
        <f t="shared" si="144"/>
        <v>118616.61224799728</v>
      </c>
      <c r="E409" s="295">
        <f t="shared" si="145"/>
        <v>-30010.234142609712</v>
      </c>
      <c r="F409" s="295">
        <f t="shared" si="136"/>
        <v>-29441.862875588064</v>
      </c>
      <c r="G409" s="295">
        <f t="shared" si="137"/>
        <v>-568.37126702164574</v>
      </c>
      <c r="H409" s="296">
        <f t="shared" si="138"/>
        <v>89174.74937240922</v>
      </c>
      <c r="J409" s="292">
        <f t="shared" si="131"/>
        <v>0</v>
      </c>
      <c r="K409" s="293">
        <f t="shared" si="149"/>
        <v>0</v>
      </c>
      <c r="L409" s="294">
        <f t="shared" si="132"/>
        <v>0</v>
      </c>
      <c r="M409" s="295">
        <f t="shared" si="146"/>
        <v>0</v>
      </c>
      <c r="N409" s="295" t="e">
        <f t="shared" si="147"/>
        <v>#NUM!</v>
      </c>
      <c r="O409" s="295">
        <f t="shared" si="139"/>
        <v>0</v>
      </c>
      <c r="P409" s="295">
        <f t="shared" si="140"/>
        <v>0</v>
      </c>
      <c r="Q409" s="296">
        <f t="shared" si="141"/>
        <v>0</v>
      </c>
      <c r="S409" s="292">
        <f t="shared" si="133"/>
        <v>0</v>
      </c>
      <c r="T409" s="293">
        <f t="shared" si="150"/>
        <v>0</v>
      </c>
      <c r="U409" s="294">
        <f t="shared" si="134"/>
        <v>0</v>
      </c>
      <c r="V409" s="295">
        <f t="shared" si="135"/>
        <v>0</v>
      </c>
      <c r="W409" s="290" t="e">
        <f t="shared" si="151"/>
        <v>#NUM!</v>
      </c>
      <c r="X409" s="295">
        <f t="shared" si="142"/>
        <v>0</v>
      </c>
      <c r="Y409" s="295" t="e">
        <f t="shared" si="143"/>
        <v>#NUM!</v>
      </c>
      <c r="Z409" s="295">
        <f t="shared" si="152"/>
        <v>0</v>
      </c>
      <c r="AA409" s="296"/>
      <c r="AC409"/>
      <c r="AD409"/>
      <c r="AE409"/>
      <c r="AF409"/>
      <c r="AG409"/>
      <c r="AH409"/>
      <c r="AI409"/>
      <c r="AJ409"/>
    </row>
    <row r="410" spans="1:36" hidden="1">
      <c r="A410" s="287">
        <f t="shared" si="129"/>
        <v>30</v>
      </c>
      <c r="B410" s="288">
        <f t="shared" si="148"/>
        <v>358</v>
      </c>
      <c r="C410" s="289">
        <f t="shared" si="130"/>
        <v>56919</v>
      </c>
      <c r="D410" s="290">
        <f t="shared" si="144"/>
        <v>89174.74937240922</v>
      </c>
      <c r="E410" s="290">
        <f t="shared" si="145"/>
        <v>-30010.234142609712</v>
      </c>
      <c r="F410" s="290">
        <f t="shared" si="136"/>
        <v>-29582.938468533594</v>
      </c>
      <c r="G410" s="290">
        <f t="shared" si="137"/>
        <v>-427.29567407611961</v>
      </c>
      <c r="H410" s="291">
        <f t="shared" si="138"/>
        <v>59591.810903875623</v>
      </c>
      <c r="J410" s="287">
        <f t="shared" si="131"/>
        <v>0</v>
      </c>
      <c r="K410" s="288">
        <f t="shared" si="149"/>
        <v>0</v>
      </c>
      <c r="L410" s="289">
        <f t="shared" si="132"/>
        <v>0</v>
      </c>
      <c r="M410" s="290">
        <f t="shared" si="146"/>
        <v>0</v>
      </c>
      <c r="N410" s="290" t="e">
        <f t="shared" si="147"/>
        <v>#NUM!</v>
      </c>
      <c r="O410" s="290">
        <f t="shared" si="139"/>
        <v>0</v>
      </c>
      <c r="P410" s="290">
        <f t="shared" si="140"/>
        <v>0</v>
      </c>
      <c r="Q410" s="291">
        <f t="shared" si="141"/>
        <v>0</v>
      </c>
      <c r="S410" s="287">
        <f t="shared" si="133"/>
        <v>0</v>
      </c>
      <c r="T410" s="288">
        <f t="shared" si="150"/>
        <v>0</v>
      </c>
      <c r="U410" s="289">
        <f t="shared" si="134"/>
        <v>0</v>
      </c>
      <c r="V410" s="290">
        <f t="shared" si="135"/>
        <v>0</v>
      </c>
      <c r="W410" s="290" t="e">
        <f t="shared" si="151"/>
        <v>#NUM!</v>
      </c>
      <c r="X410" s="290">
        <f t="shared" si="142"/>
        <v>0</v>
      </c>
      <c r="Y410" s="290" t="e">
        <f t="shared" si="143"/>
        <v>#NUM!</v>
      </c>
      <c r="Z410" s="290">
        <f t="shared" si="152"/>
        <v>0</v>
      </c>
      <c r="AA410" s="291"/>
      <c r="AC410"/>
      <c r="AD410"/>
      <c r="AE410"/>
      <c r="AF410"/>
      <c r="AG410"/>
      <c r="AH410"/>
      <c r="AI410"/>
      <c r="AJ410"/>
    </row>
    <row r="411" spans="1:36" hidden="1">
      <c r="A411" s="292">
        <f t="shared" si="129"/>
        <v>30</v>
      </c>
      <c r="B411" s="293">
        <f t="shared" si="148"/>
        <v>359</v>
      </c>
      <c r="C411" s="294">
        <f t="shared" si="130"/>
        <v>56949</v>
      </c>
      <c r="D411" s="295">
        <f t="shared" si="144"/>
        <v>59591.810903875623</v>
      </c>
      <c r="E411" s="295">
        <f t="shared" si="145"/>
        <v>-30010.234142609712</v>
      </c>
      <c r="F411" s="295">
        <f t="shared" si="136"/>
        <v>-29724.69004869532</v>
      </c>
      <c r="G411" s="295">
        <f t="shared" si="137"/>
        <v>-285.54409391439606</v>
      </c>
      <c r="H411" s="296">
        <f t="shared" si="138"/>
        <v>29867.120855180303</v>
      </c>
      <c r="J411" s="292">
        <f t="shared" si="131"/>
        <v>0</v>
      </c>
      <c r="K411" s="293">
        <f t="shared" si="149"/>
        <v>0</v>
      </c>
      <c r="L411" s="294">
        <f t="shared" si="132"/>
        <v>0</v>
      </c>
      <c r="M411" s="295">
        <f t="shared" si="146"/>
        <v>0</v>
      </c>
      <c r="N411" s="295" t="e">
        <f t="shared" si="147"/>
        <v>#NUM!</v>
      </c>
      <c r="O411" s="295">
        <f t="shared" si="139"/>
        <v>0</v>
      </c>
      <c r="P411" s="295">
        <f t="shared" si="140"/>
        <v>0</v>
      </c>
      <c r="Q411" s="296">
        <f t="shared" si="141"/>
        <v>0</v>
      </c>
      <c r="S411" s="292">
        <f t="shared" si="133"/>
        <v>0</v>
      </c>
      <c r="T411" s="293">
        <f t="shared" si="150"/>
        <v>0</v>
      </c>
      <c r="U411" s="294">
        <f t="shared" si="134"/>
        <v>0</v>
      </c>
      <c r="V411" s="295">
        <f t="shared" si="135"/>
        <v>0</v>
      </c>
      <c r="W411" s="290" t="e">
        <f t="shared" si="151"/>
        <v>#NUM!</v>
      </c>
      <c r="X411" s="295">
        <f t="shared" si="142"/>
        <v>0</v>
      </c>
      <c r="Y411" s="295" t="e">
        <f t="shared" si="143"/>
        <v>#NUM!</v>
      </c>
      <c r="Z411" s="295">
        <f t="shared" si="152"/>
        <v>0</v>
      </c>
      <c r="AA411" s="296"/>
      <c r="AC411"/>
      <c r="AD411"/>
      <c r="AE411"/>
      <c r="AF411"/>
      <c r="AG411"/>
      <c r="AH411"/>
      <c r="AI411"/>
      <c r="AJ411"/>
    </row>
    <row r="412" spans="1:36" hidden="1">
      <c r="A412" s="299">
        <f t="shared" si="129"/>
        <v>30</v>
      </c>
      <c r="B412" s="300">
        <f t="shared" si="148"/>
        <v>360</v>
      </c>
      <c r="C412" s="301">
        <f t="shared" si="130"/>
        <v>56980</v>
      </c>
      <c r="D412" s="302">
        <f t="shared" si="144"/>
        <v>29867.120855180303</v>
      </c>
      <c r="E412" s="302">
        <f t="shared" si="145"/>
        <v>-30010.234142609712</v>
      </c>
      <c r="F412" s="302">
        <f t="shared" si="136"/>
        <v>-29867.120855178648</v>
      </c>
      <c r="G412" s="302">
        <f t="shared" si="137"/>
        <v>-143.11328743106438</v>
      </c>
      <c r="H412" s="303">
        <f t="shared" si="138"/>
        <v>1.6552803572267294E-9</v>
      </c>
      <c r="J412" s="299">
        <f t="shared" si="131"/>
        <v>0</v>
      </c>
      <c r="K412" s="300">
        <f t="shared" si="149"/>
        <v>0</v>
      </c>
      <c r="L412" s="301">
        <f t="shared" si="132"/>
        <v>0</v>
      </c>
      <c r="M412" s="302">
        <f t="shared" si="146"/>
        <v>0</v>
      </c>
      <c r="N412" s="302" t="e">
        <f t="shared" si="147"/>
        <v>#NUM!</v>
      </c>
      <c r="O412" s="302">
        <f t="shared" si="139"/>
        <v>0</v>
      </c>
      <c r="P412" s="302">
        <f t="shared" si="140"/>
        <v>0</v>
      </c>
      <c r="Q412" s="303">
        <f t="shared" si="141"/>
        <v>0</v>
      </c>
      <c r="S412" s="299">
        <f t="shared" si="133"/>
        <v>0</v>
      </c>
      <c r="T412" s="300">
        <f t="shared" si="150"/>
        <v>0</v>
      </c>
      <c r="U412" s="301">
        <f t="shared" si="134"/>
        <v>0</v>
      </c>
      <c r="V412" s="302">
        <f t="shared" si="135"/>
        <v>0</v>
      </c>
      <c r="W412" s="302" t="e">
        <f t="shared" si="151"/>
        <v>#NUM!</v>
      </c>
      <c r="X412" s="302">
        <f t="shared" si="142"/>
        <v>0</v>
      </c>
      <c r="Y412" s="302" t="e">
        <f t="shared" si="143"/>
        <v>#NUM!</v>
      </c>
      <c r="Z412" s="302">
        <f t="shared" si="152"/>
        <v>0</v>
      </c>
      <c r="AA412" s="303"/>
      <c r="AC412"/>
      <c r="AD412"/>
      <c r="AE412"/>
      <c r="AF412"/>
      <c r="AG412"/>
      <c r="AH412"/>
      <c r="AI412"/>
      <c r="AJ412"/>
    </row>
    <row r="413" spans="1:36" hidden="1">
      <c r="A413" s="236" t="s">
        <v>1647</v>
      </c>
      <c r="B413" s="304"/>
      <c r="C413" s="305">
        <f>IF(SwitchAcqMethod="Financed - New",DATE(YEAR(E10),MONTH(E10)+E16,DAY(1)),DATE(YEAR(E10),MONTH(E10)+Input!B55,DAY(1)))</f>
        <v>46054</v>
      </c>
      <c r="D413" s="306"/>
      <c r="E413" s="306"/>
      <c r="F413" s="306"/>
      <c r="G413" s="306"/>
      <c r="H413" s="307">
        <f>DATE(YEAR(E10),MONTH(E10),DAY(1))</f>
        <v>46054</v>
      </c>
      <c r="J413" s="236" t="s">
        <v>1647</v>
      </c>
      <c r="L413" s="308">
        <f>DATE(YEAR(G10),MONTH(G10)+G16,DAY(1))</f>
        <v>1</v>
      </c>
      <c r="Q413" s="307">
        <f>DATE(YEAR(G10),MONTH(G10),DAY(1))</f>
        <v>1</v>
      </c>
      <c r="S413" s="236" t="s">
        <v>1647</v>
      </c>
      <c r="V413" s="308">
        <f>IFERROR(DATE(YEAR(I10),MONTH(I10)+I16,DAY(1)),0)</f>
        <v>1</v>
      </c>
      <c r="Z413" s="307">
        <f>IFERROR(DATE(YEAR(I10),MONTH(I10),DAY(1)),0)</f>
        <v>1</v>
      </c>
      <c r="AA413" s="307"/>
      <c r="AE413" s="305"/>
      <c r="AF413" s="306"/>
      <c r="AG413" s="306"/>
      <c r="AH413" s="306"/>
      <c r="AI413" s="306"/>
      <c r="AJ413" s="307"/>
    </row>
    <row r="414" spans="1:36">
      <c r="A414" s="304"/>
      <c r="B414" s="304"/>
      <c r="C414" s="305"/>
      <c r="D414" s="306"/>
      <c r="E414" s="306"/>
      <c r="F414" s="306"/>
      <c r="G414" s="306"/>
      <c r="H414" s="306"/>
      <c r="AC414" s="304"/>
      <c r="AD414" s="304"/>
      <c r="AE414" s="305"/>
      <c r="AF414" s="306"/>
      <c r="AG414" s="306"/>
      <c r="AH414" s="306"/>
      <c r="AI414" s="306"/>
      <c r="AJ414" s="306"/>
    </row>
    <row r="415" spans="1:36">
      <c r="A415" s="304"/>
      <c r="B415" s="304"/>
      <c r="C415" s="305"/>
      <c r="D415" s="306"/>
      <c r="E415" s="306"/>
      <c r="F415" s="306"/>
      <c r="G415" s="306"/>
      <c r="H415" s="306"/>
      <c r="AC415" s="304"/>
      <c r="AD415" s="304"/>
      <c r="AE415" s="305"/>
      <c r="AF415" s="306"/>
      <c r="AG415" s="306"/>
      <c r="AH415" s="306"/>
      <c r="AI415" s="306"/>
      <c r="AJ415" s="306"/>
    </row>
    <row r="416" spans="1:36">
      <c r="A416" s="304"/>
      <c r="B416" s="304"/>
      <c r="C416" s="305"/>
      <c r="D416" s="306"/>
      <c r="E416" s="306"/>
      <c r="F416" s="306"/>
      <c r="G416" s="306"/>
      <c r="H416" s="306"/>
      <c r="AC416" s="304"/>
      <c r="AD416" s="304"/>
      <c r="AE416" s="305"/>
      <c r="AF416" s="306"/>
      <c r="AG416" s="306"/>
      <c r="AH416" s="306"/>
      <c r="AI416" s="306"/>
      <c r="AJ416" s="306"/>
    </row>
    <row r="417" spans="1:36">
      <c r="A417" s="304"/>
      <c r="B417" s="304"/>
      <c r="C417" s="305"/>
      <c r="D417" s="306"/>
      <c r="E417" s="306"/>
      <c r="F417" s="306"/>
      <c r="G417" s="306"/>
      <c r="H417" s="306"/>
      <c r="AC417" s="304"/>
      <c r="AD417" s="304"/>
      <c r="AE417" s="305"/>
      <c r="AF417" s="306"/>
      <c r="AG417" s="306"/>
      <c r="AH417" s="306"/>
      <c r="AI417" s="306"/>
      <c r="AJ417" s="306"/>
    </row>
    <row r="418" spans="1:36">
      <c r="A418" s="304"/>
      <c r="B418" s="304"/>
      <c r="C418" s="305"/>
      <c r="D418" s="306"/>
      <c r="E418" s="306"/>
      <c r="F418" s="306"/>
      <c r="G418" s="306"/>
      <c r="H418" s="306"/>
      <c r="AC418" s="304"/>
      <c r="AD418" s="304"/>
      <c r="AE418" s="305"/>
      <c r="AF418" s="306"/>
      <c r="AG418" s="306"/>
      <c r="AH418" s="306"/>
      <c r="AI418" s="306"/>
      <c r="AJ418" s="306"/>
    </row>
    <row r="419" spans="1:36">
      <c r="A419" s="304"/>
      <c r="B419" s="304"/>
      <c r="C419" s="305"/>
      <c r="D419" s="306"/>
      <c r="E419" s="306"/>
      <c r="F419" s="306"/>
      <c r="G419" s="306"/>
      <c r="H419" s="306"/>
    </row>
    <row r="420" spans="1:36">
      <c r="A420" s="304"/>
      <c r="B420" s="304"/>
      <c r="C420" s="305"/>
      <c r="D420" s="306"/>
      <c r="E420" s="306"/>
      <c r="F420" s="306"/>
      <c r="G420" s="306"/>
      <c r="H420" s="306"/>
    </row>
    <row r="421" spans="1:36">
      <c r="A421" s="304"/>
      <c r="B421" s="304"/>
      <c r="C421" s="305"/>
      <c r="D421" s="306"/>
      <c r="E421" s="306"/>
      <c r="F421" s="306"/>
      <c r="G421" s="306"/>
      <c r="H421" s="306"/>
    </row>
    <row r="422" spans="1:36">
      <c r="A422" s="304"/>
      <c r="B422" s="304"/>
      <c r="C422" s="305"/>
      <c r="D422" s="306"/>
      <c r="E422" s="306"/>
      <c r="F422" s="306"/>
      <c r="G422" s="306"/>
      <c r="H422" s="306"/>
    </row>
    <row r="423" spans="1:36">
      <c r="A423" s="304"/>
      <c r="B423" s="304"/>
      <c r="C423" s="305"/>
      <c r="D423" s="306"/>
      <c r="E423" s="306"/>
      <c r="F423" s="306"/>
      <c r="G423" s="306"/>
      <c r="H423" s="306"/>
    </row>
    <row r="424" spans="1:36">
      <c r="A424" s="304"/>
      <c r="B424" s="304"/>
      <c r="C424" s="305"/>
      <c r="D424" s="306"/>
      <c r="E424" s="306"/>
      <c r="F424" s="306"/>
      <c r="G424" s="306"/>
      <c r="H424" s="306"/>
    </row>
    <row r="425" spans="1:36">
      <c r="A425" s="304"/>
      <c r="B425" s="304"/>
      <c r="C425" s="305"/>
      <c r="D425" s="306"/>
      <c r="E425" s="306"/>
      <c r="F425" s="306"/>
      <c r="G425" s="306"/>
      <c r="H425" s="306"/>
    </row>
    <row r="426" spans="1:36">
      <c r="A426" s="304"/>
      <c r="B426" s="304"/>
      <c r="C426" s="305"/>
      <c r="D426" s="306"/>
      <c r="E426" s="306"/>
      <c r="F426" s="306"/>
      <c r="G426" s="306"/>
      <c r="H426" s="306"/>
    </row>
    <row r="427" spans="1:36">
      <c r="A427" s="304"/>
      <c r="B427" s="304"/>
      <c r="C427" s="305"/>
      <c r="D427" s="306"/>
      <c r="E427" s="306"/>
      <c r="F427" s="306"/>
      <c r="G427" s="306"/>
      <c r="H427" s="306"/>
    </row>
    <row r="428" spans="1:36">
      <c r="A428" s="304"/>
      <c r="B428" s="304"/>
      <c r="C428" s="305"/>
      <c r="D428" s="306"/>
      <c r="E428" s="306"/>
      <c r="F428" s="306"/>
      <c r="G428" s="306"/>
      <c r="H428" s="306"/>
    </row>
    <row r="429" spans="1:36">
      <c r="A429" s="304"/>
      <c r="B429" s="304"/>
      <c r="C429" s="305"/>
      <c r="D429" s="306"/>
      <c r="E429" s="306"/>
      <c r="F429" s="306"/>
      <c r="G429" s="306"/>
      <c r="H429" s="306"/>
    </row>
    <row r="430" spans="1:36">
      <c r="A430" s="304"/>
      <c r="B430" s="304"/>
      <c r="C430" s="305"/>
      <c r="D430" s="306"/>
      <c r="E430" s="306"/>
      <c r="F430" s="306"/>
      <c r="G430" s="306"/>
      <c r="H430" s="306"/>
    </row>
    <row r="431" spans="1:36">
      <c r="A431" s="304"/>
      <c r="B431" s="304"/>
      <c r="C431" s="305"/>
      <c r="D431" s="306"/>
      <c r="E431" s="306"/>
      <c r="F431" s="306"/>
      <c r="G431" s="306"/>
      <c r="H431" s="306"/>
    </row>
    <row r="432" spans="1:36">
      <c r="A432" s="304"/>
      <c r="B432" s="304"/>
      <c r="C432" s="305"/>
      <c r="D432" s="306"/>
      <c r="E432" s="306"/>
      <c r="F432" s="306"/>
      <c r="G432" s="306"/>
      <c r="H432" s="306"/>
    </row>
    <row r="433" spans="1:8">
      <c r="A433" s="304"/>
      <c r="B433" s="304"/>
      <c r="C433" s="305"/>
      <c r="D433" s="306"/>
      <c r="E433" s="306"/>
      <c r="F433" s="306"/>
      <c r="G433" s="306"/>
      <c r="H433" s="306"/>
    </row>
    <row r="434" spans="1:8">
      <c r="A434" s="304"/>
      <c r="B434" s="304"/>
      <c r="C434" s="305"/>
      <c r="D434" s="306"/>
      <c r="E434" s="306"/>
      <c r="F434" s="306"/>
      <c r="G434" s="306"/>
      <c r="H434" s="306"/>
    </row>
    <row r="435" spans="1:8">
      <c r="A435" s="304"/>
      <c r="B435" s="304"/>
      <c r="C435" s="305"/>
      <c r="D435" s="306"/>
      <c r="E435" s="306"/>
      <c r="F435" s="306"/>
      <c r="G435" s="306"/>
      <c r="H435" s="306"/>
    </row>
    <row r="436" spans="1:8">
      <c r="A436" s="304"/>
      <c r="B436" s="304"/>
      <c r="C436" s="305"/>
      <c r="D436" s="306"/>
      <c r="E436" s="306"/>
      <c r="F436" s="306"/>
      <c r="G436" s="306"/>
      <c r="H436" s="306"/>
    </row>
    <row r="437" spans="1:8">
      <c r="A437" s="304"/>
      <c r="B437" s="304"/>
      <c r="C437" s="305"/>
      <c r="D437" s="306"/>
      <c r="E437" s="306"/>
      <c r="F437" s="306"/>
      <c r="G437" s="306"/>
      <c r="H437" s="306"/>
    </row>
    <row r="438" spans="1:8">
      <c r="A438" s="304"/>
      <c r="B438" s="304"/>
      <c r="C438" s="305"/>
      <c r="D438" s="306"/>
      <c r="E438" s="306"/>
      <c r="F438" s="306"/>
      <c r="G438" s="306"/>
      <c r="H438" s="306"/>
    </row>
    <row r="439" spans="1:8">
      <c r="A439" s="304"/>
      <c r="B439" s="304"/>
      <c r="C439" s="305"/>
      <c r="D439" s="306"/>
      <c r="E439" s="306"/>
      <c r="F439" s="306"/>
      <c r="G439" s="306"/>
      <c r="H439" s="306"/>
    </row>
    <row r="440" spans="1:8">
      <c r="A440" s="304"/>
      <c r="B440" s="304"/>
      <c r="C440" s="305"/>
      <c r="D440" s="306"/>
      <c r="E440" s="306"/>
      <c r="F440" s="306"/>
      <c r="G440" s="306"/>
      <c r="H440" s="306"/>
    </row>
    <row r="441" spans="1:8">
      <c r="A441" s="304"/>
      <c r="B441" s="304"/>
      <c r="C441" s="305"/>
      <c r="D441" s="306"/>
      <c r="E441" s="306"/>
      <c r="F441" s="306"/>
      <c r="G441" s="306"/>
      <c r="H441" s="306"/>
    </row>
    <row r="442" spans="1:8">
      <c r="A442" s="304"/>
      <c r="B442" s="304"/>
      <c r="C442" s="305"/>
      <c r="D442" s="306"/>
      <c r="E442" s="306"/>
      <c r="F442" s="306"/>
      <c r="G442" s="306"/>
      <c r="H442" s="306"/>
    </row>
    <row r="443" spans="1:8">
      <c r="A443" s="304"/>
      <c r="B443" s="304"/>
      <c r="C443" s="305"/>
      <c r="D443" s="306"/>
      <c r="E443" s="306"/>
      <c r="F443" s="306"/>
      <c r="G443" s="306"/>
      <c r="H443" s="306"/>
    </row>
    <row r="444" spans="1:8">
      <c r="A444" s="304"/>
      <c r="B444" s="304"/>
      <c r="C444" s="305"/>
      <c r="D444" s="306"/>
      <c r="E444" s="306"/>
      <c r="F444" s="306"/>
      <c r="G444" s="306"/>
      <c r="H444" s="306"/>
    </row>
    <row r="445" spans="1:8">
      <c r="A445" s="304"/>
      <c r="B445" s="304"/>
      <c r="C445" s="305"/>
      <c r="D445" s="306"/>
      <c r="E445" s="306"/>
      <c r="F445" s="306"/>
      <c r="G445" s="306"/>
      <c r="H445" s="306"/>
    </row>
    <row r="446" spans="1:8">
      <c r="A446" s="304"/>
      <c r="B446" s="304"/>
      <c r="C446" s="305"/>
      <c r="D446" s="306"/>
      <c r="E446" s="306"/>
      <c r="F446" s="306"/>
      <c r="G446" s="306"/>
      <c r="H446" s="306"/>
    </row>
    <row r="447" spans="1:8">
      <c r="A447" s="304"/>
      <c r="B447" s="304"/>
      <c r="C447" s="305"/>
      <c r="D447" s="306"/>
      <c r="E447" s="306"/>
      <c r="F447" s="306"/>
      <c r="G447" s="306"/>
      <c r="H447" s="306"/>
    </row>
    <row r="448" spans="1:8">
      <c r="A448" s="304"/>
      <c r="B448" s="304"/>
      <c r="C448" s="305"/>
      <c r="D448" s="306"/>
      <c r="E448" s="306"/>
      <c r="F448" s="306"/>
      <c r="G448" s="306"/>
      <c r="H448" s="306"/>
    </row>
    <row r="449" spans="1:8">
      <c r="A449" s="304"/>
      <c r="B449" s="304"/>
      <c r="C449" s="305"/>
      <c r="D449" s="306"/>
      <c r="E449" s="306"/>
      <c r="F449" s="306"/>
      <c r="G449" s="306"/>
      <c r="H449" s="306"/>
    </row>
    <row r="450" spans="1:8">
      <c r="A450" s="304"/>
      <c r="B450" s="304"/>
      <c r="C450" s="305"/>
      <c r="D450" s="306"/>
      <c r="E450" s="306"/>
      <c r="F450" s="306"/>
      <c r="G450" s="306"/>
      <c r="H450" s="306"/>
    </row>
    <row r="451" spans="1:8">
      <c r="A451" s="304"/>
      <c r="B451" s="304"/>
      <c r="C451" s="305"/>
      <c r="D451" s="306"/>
      <c r="E451" s="306"/>
      <c r="F451" s="306"/>
      <c r="G451" s="306"/>
      <c r="H451" s="306"/>
    </row>
    <row r="452" spans="1:8">
      <c r="A452" s="304"/>
      <c r="B452" s="304"/>
      <c r="C452" s="305"/>
      <c r="D452" s="306"/>
      <c r="E452" s="306"/>
      <c r="F452" s="306"/>
      <c r="G452" s="306"/>
      <c r="H452" s="306"/>
    </row>
    <row r="453" spans="1:8">
      <c r="A453" s="304"/>
      <c r="B453" s="304"/>
      <c r="C453" s="305"/>
      <c r="D453" s="306"/>
      <c r="E453" s="306"/>
      <c r="F453" s="306"/>
      <c r="G453" s="306"/>
      <c r="H453" s="306"/>
    </row>
    <row r="454" spans="1:8">
      <c r="A454" s="304"/>
      <c r="B454" s="304"/>
      <c r="C454" s="305"/>
      <c r="D454" s="306"/>
      <c r="E454" s="306"/>
      <c r="F454" s="306"/>
      <c r="G454" s="306"/>
      <c r="H454" s="306"/>
    </row>
    <row r="455" spans="1:8">
      <c r="A455" s="304"/>
      <c r="B455" s="304"/>
      <c r="C455" s="305"/>
      <c r="D455" s="306"/>
      <c r="E455" s="306"/>
      <c r="F455" s="306"/>
      <c r="G455" s="306"/>
      <c r="H455" s="306"/>
    </row>
    <row r="456" spans="1:8">
      <c r="A456" s="304"/>
      <c r="B456" s="304"/>
      <c r="C456" s="305"/>
      <c r="D456" s="306"/>
      <c r="E456" s="306"/>
      <c r="F456" s="306"/>
      <c r="G456" s="306"/>
      <c r="H456" s="306"/>
    </row>
    <row r="457" spans="1:8">
      <c r="A457" s="304"/>
      <c r="B457" s="304"/>
      <c r="C457" s="305"/>
      <c r="D457" s="306"/>
      <c r="E457" s="306"/>
      <c r="F457" s="306"/>
      <c r="G457" s="306"/>
      <c r="H457" s="306"/>
    </row>
    <row r="458" spans="1:8">
      <c r="A458" s="304"/>
      <c r="B458" s="304"/>
      <c r="C458" s="305"/>
      <c r="D458" s="306"/>
      <c r="E458" s="306"/>
      <c r="F458" s="306"/>
      <c r="G458" s="306"/>
      <c r="H458" s="306"/>
    </row>
    <row r="459" spans="1:8">
      <c r="A459" s="304"/>
      <c r="B459" s="304"/>
      <c r="C459" s="305"/>
      <c r="D459" s="306"/>
      <c r="E459" s="306"/>
      <c r="F459" s="306"/>
      <c r="G459" s="306"/>
      <c r="H459" s="306"/>
    </row>
    <row r="460" spans="1:8">
      <c r="A460" s="304"/>
      <c r="B460" s="304"/>
      <c r="C460" s="305"/>
      <c r="D460" s="306"/>
      <c r="E460" s="306"/>
      <c r="F460" s="306"/>
      <c r="G460" s="306"/>
      <c r="H460" s="306"/>
    </row>
    <row r="461" spans="1:8">
      <c r="A461" s="304"/>
      <c r="B461" s="304"/>
      <c r="C461" s="305"/>
      <c r="D461" s="306"/>
      <c r="E461" s="306"/>
      <c r="F461" s="306"/>
      <c r="G461" s="306"/>
      <c r="H461" s="306"/>
    </row>
    <row r="462" spans="1:8">
      <c r="A462" s="304"/>
      <c r="B462" s="304"/>
      <c r="C462" s="305"/>
      <c r="D462" s="306"/>
      <c r="E462" s="306"/>
      <c r="F462" s="306"/>
      <c r="G462" s="306"/>
      <c r="H462" s="306"/>
    </row>
    <row r="463" spans="1:8">
      <c r="A463" s="304"/>
      <c r="B463" s="304"/>
      <c r="C463" s="305"/>
      <c r="D463" s="306"/>
      <c r="E463" s="306"/>
      <c r="F463" s="306"/>
      <c r="G463" s="306"/>
      <c r="H463" s="306"/>
    </row>
    <row r="464" spans="1:8">
      <c r="A464" s="304"/>
      <c r="B464" s="304"/>
      <c r="C464" s="305"/>
      <c r="D464" s="306"/>
      <c r="E464" s="306"/>
      <c r="F464" s="306"/>
      <c r="G464" s="306"/>
      <c r="H464" s="306"/>
    </row>
    <row r="465" spans="1:8">
      <c r="A465" s="304"/>
      <c r="B465" s="304"/>
      <c r="C465" s="305"/>
      <c r="D465" s="306"/>
      <c r="E465" s="306"/>
      <c r="F465" s="306"/>
      <c r="G465" s="306"/>
      <c r="H465" s="306"/>
    </row>
    <row r="466" spans="1:8">
      <c r="A466" s="304"/>
      <c r="B466" s="304"/>
      <c r="C466" s="305"/>
      <c r="D466" s="306"/>
      <c r="E466" s="306"/>
      <c r="F466" s="306"/>
      <c r="G466" s="306"/>
      <c r="H466" s="306"/>
    </row>
    <row r="467" spans="1:8">
      <c r="A467" s="304"/>
      <c r="B467" s="304"/>
      <c r="C467" s="305"/>
      <c r="D467" s="306"/>
      <c r="E467" s="306"/>
      <c r="F467" s="306"/>
      <c r="G467" s="306"/>
      <c r="H467" s="306"/>
    </row>
    <row r="468" spans="1:8">
      <c r="A468" s="304"/>
      <c r="B468" s="304"/>
      <c r="C468" s="305"/>
      <c r="D468" s="306"/>
      <c r="E468" s="306"/>
      <c r="F468" s="306"/>
      <c r="G468" s="306"/>
      <c r="H468" s="306"/>
    </row>
    <row r="469" spans="1:8">
      <c r="A469" s="304"/>
      <c r="B469" s="304"/>
      <c r="C469" s="305"/>
      <c r="D469" s="306"/>
      <c r="E469" s="306"/>
      <c r="F469" s="306"/>
      <c r="G469" s="306"/>
      <c r="H469" s="306"/>
    </row>
    <row r="470" spans="1:8">
      <c r="A470" s="304"/>
      <c r="B470" s="304"/>
      <c r="C470" s="305"/>
      <c r="D470" s="306"/>
      <c r="E470" s="306"/>
      <c r="F470" s="306"/>
      <c r="G470" s="306"/>
      <c r="H470" s="306"/>
    </row>
    <row r="471" spans="1:8">
      <c r="A471" s="304"/>
      <c r="B471" s="304"/>
      <c r="C471" s="305"/>
      <c r="D471" s="306"/>
      <c r="E471" s="306"/>
      <c r="F471" s="306"/>
      <c r="G471" s="306"/>
      <c r="H471" s="306"/>
    </row>
    <row r="472" spans="1:8">
      <c r="A472" s="304"/>
      <c r="B472" s="304"/>
      <c r="C472" s="305"/>
      <c r="D472" s="306"/>
      <c r="E472" s="306"/>
      <c r="F472" s="306"/>
      <c r="G472" s="306"/>
      <c r="H472" s="306"/>
    </row>
    <row r="473" spans="1:8">
      <c r="A473" s="304"/>
      <c r="B473" s="304"/>
      <c r="C473" s="305"/>
      <c r="D473" s="306"/>
      <c r="E473" s="306"/>
      <c r="F473" s="306"/>
      <c r="G473" s="306"/>
      <c r="H473" s="306"/>
    </row>
    <row r="474" spans="1:8">
      <c r="A474" s="304"/>
      <c r="B474" s="304"/>
      <c r="C474" s="305"/>
      <c r="D474" s="306"/>
      <c r="E474" s="306"/>
      <c r="F474" s="306"/>
      <c r="G474" s="306"/>
      <c r="H474" s="306"/>
    </row>
    <row r="475" spans="1:8">
      <c r="A475" s="304"/>
      <c r="B475" s="304"/>
      <c r="C475" s="305"/>
      <c r="D475" s="306"/>
      <c r="E475" s="306"/>
      <c r="F475" s="306"/>
      <c r="G475" s="306"/>
      <c r="H475" s="306"/>
    </row>
    <row r="476" spans="1:8">
      <c r="A476" s="304"/>
      <c r="B476" s="304"/>
      <c r="C476" s="305"/>
      <c r="D476" s="306"/>
      <c r="E476" s="306"/>
      <c r="F476" s="306"/>
      <c r="G476" s="306"/>
      <c r="H476" s="306"/>
    </row>
    <row r="477" spans="1:8">
      <c r="A477" s="304"/>
      <c r="B477" s="304"/>
      <c r="C477" s="305"/>
      <c r="D477" s="306"/>
      <c r="E477" s="306"/>
      <c r="F477" s="306"/>
      <c r="G477" s="306"/>
      <c r="H477" s="306"/>
    </row>
    <row r="478" spans="1:8">
      <c r="A478" s="304"/>
      <c r="B478" s="304"/>
      <c r="C478" s="305"/>
      <c r="D478" s="306"/>
      <c r="E478" s="306"/>
      <c r="F478" s="306"/>
      <c r="G478" s="306"/>
      <c r="H478" s="306"/>
    </row>
    <row r="479" spans="1:8">
      <c r="A479" s="304"/>
      <c r="B479" s="304"/>
      <c r="C479" s="305"/>
      <c r="D479" s="306"/>
      <c r="E479" s="306"/>
      <c r="F479" s="306"/>
      <c r="G479" s="306"/>
      <c r="H479" s="306"/>
    </row>
    <row r="480" spans="1:8">
      <c r="A480" s="304"/>
      <c r="B480" s="304"/>
      <c r="C480" s="305"/>
      <c r="D480" s="306"/>
      <c r="E480" s="306"/>
      <c r="F480" s="306"/>
      <c r="G480" s="306"/>
      <c r="H480" s="306"/>
    </row>
    <row r="481" spans="1:8">
      <c r="A481" s="304"/>
      <c r="B481" s="304"/>
      <c r="C481" s="305"/>
      <c r="D481" s="306"/>
      <c r="E481" s="306"/>
      <c r="F481" s="306"/>
      <c r="G481" s="306"/>
      <c r="H481" s="306"/>
    </row>
    <row r="482" spans="1:8">
      <c r="A482" s="304"/>
      <c r="B482" s="304"/>
      <c r="C482" s="305"/>
      <c r="D482" s="306"/>
      <c r="E482" s="306"/>
      <c r="F482" s="306"/>
      <c r="G482" s="306"/>
      <c r="H482" s="306"/>
    </row>
    <row r="483" spans="1:8">
      <c r="A483" s="304"/>
      <c r="B483" s="304"/>
      <c r="C483" s="305"/>
      <c r="D483" s="306"/>
      <c r="E483" s="306"/>
      <c r="F483" s="306"/>
      <c r="G483" s="306"/>
      <c r="H483" s="306"/>
    </row>
    <row r="484" spans="1:8">
      <c r="A484" s="304"/>
      <c r="B484" s="304"/>
      <c r="C484" s="305"/>
      <c r="D484" s="306"/>
      <c r="E484" s="306"/>
      <c r="F484" s="306"/>
      <c r="G484" s="306"/>
      <c r="H484" s="306"/>
    </row>
    <row r="485" spans="1:8">
      <c r="A485" s="304"/>
      <c r="B485" s="304"/>
      <c r="C485" s="305"/>
      <c r="D485" s="306"/>
      <c r="E485" s="306"/>
      <c r="F485" s="306"/>
      <c r="G485" s="306"/>
      <c r="H485" s="306"/>
    </row>
    <row r="486" spans="1:8">
      <c r="A486" s="304"/>
      <c r="B486" s="304"/>
      <c r="C486" s="305"/>
      <c r="D486" s="306"/>
      <c r="E486" s="306"/>
      <c r="F486" s="306"/>
      <c r="G486" s="306"/>
      <c r="H486" s="306"/>
    </row>
    <row r="487" spans="1:8">
      <c r="A487" s="304"/>
      <c r="B487" s="304"/>
      <c r="C487" s="305"/>
      <c r="D487" s="306"/>
      <c r="E487" s="306"/>
      <c r="F487" s="306"/>
      <c r="G487" s="306"/>
      <c r="H487" s="306"/>
    </row>
    <row r="488" spans="1:8">
      <c r="A488" s="304"/>
      <c r="B488" s="304"/>
      <c r="C488" s="305"/>
      <c r="D488" s="306"/>
      <c r="E488" s="306"/>
      <c r="F488" s="306"/>
      <c r="G488" s="306"/>
      <c r="H488" s="306"/>
    </row>
    <row r="489" spans="1:8">
      <c r="A489" s="304"/>
      <c r="B489" s="304"/>
      <c r="C489" s="305"/>
      <c r="D489" s="306"/>
      <c r="E489" s="306"/>
      <c r="F489" s="306"/>
      <c r="G489" s="306"/>
      <c r="H489" s="306"/>
    </row>
    <row r="490" spans="1:8">
      <c r="A490" s="304"/>
      <c r="B490" s="304"/>
      <c r="C490" s="305"/>
      <c r="D490" s="306"/>
      <c r="E490" s="306"/>
      <c r="F490" s="306"/>
      <c r="G490" s="306"/>
      <c r="H490" s="306"/>
    </row>
    <row r="491" spans="1:8">
      <c r="A491" s="304"/>
      <c r="B491" s="304"/>
      <c r="C491" s="305"/>
      <c r="D491" s="306"/>
      <c r="E491" s="306"/>
      <c r="F491" s="306"/>
      <c r="G491" s="306"/>
      <c r="H491" s="306"/>
    </row>
    <row r="492" spans="1:8">
      <c r="A492" s="304"/>
      <c r="B492" s="304"/>
      <c r="C492" s="305"/>
      <c r="D492" s="306"/>
      <c r="E492" s="306"/>
      <c r="F492" s="306"/>
      <c r="G492" s="306"/>
      <c r="H492" s="306"/>
    </row>
    <row r="493" spans="1:8">
      <c r="A493" s="304"/>
      <c r="B493" s="304"/>
      <c r="C493" s="305"/>
      <c r="D493" s="306"/>
      <c r="E493" s="306"/>
      <c r="F493" s="306"/>
      <c r="G493" s="306"/>
      <c r="H493" s="306"/>
    </row>
    <row r="494" spans="1:8">
      <c r="A494" s="304"/>
      <c r="B494" s="304"/>
      <c r="C494" s="305"/>
      <c r="D494" s="306"/>
      <c r="E494" s="306"/>
      <c r="F494" s="306"/>
      <c r="G494" s="306"/>
      <c r="H494" s="306"/>
    </row>
    <row r="495" spans="1:8">
      <c r="A495" s="304"/>
      <c r="B495" s="304"/>
      <c r="C495" s="305"/>
      <c r="D495" s="306"/>
      <c r="E495" s="306"/>
      <c r="F495" s="306"/>
      <c r="G495" s="306"/>
      <c r="H495" s="306"/>
    </row>
    <row r="496" spans="1:8">
      <c r="A496" s="304"/>
      <c r="B496" s="304"/>
      <c r="C496" s="305"/>
      <c r="D496" s="306"/>
      <c r="E496" s="306"/>
      <c r="F496" s="306"/>
      <c r="G496" s="306"/>
      <c r="H496" s="306"/>
    </row>
    <row r="497" spans="1:8">
      <c r="A497" s="304"/>
      <c r="B497" s="304"/>
      <c r="C497" s="305"/>
      <c r="D497" s="306"/>
      <c r="E497" s="306"/>
      <c r="F497" s="306"/>
      <c r="G497" s="306"/>
      <c r="H497" s="306"/>
    </row>
    <row r="498" spans="1:8">
      <c r="A498" s="304"/>
      <c r="B498" s="304"/>
      <c r="C498" s="305"/>
      <c r="D498" s="306"/>
      <c r="E498" s="306"/>
      <c r="F498" s="306"/>
      <c r="G498" s="306"/>
      <c r="H498" s="306"/>
    </row>
    <row r="499" spans="1:8">
      <c r="A499" s="304"/>
      <c r="B499" s="304"/>
      <c r="C499" s="305"/>
      <c r="D499" s="306"/>
      <c r="E499" s="306"/>
      <c r="F499" s="306"/>
      <c r="G499" s="306"/>
      <c r="H499" s="306"/>
    </row>
    <row r="500" spans="1:8">
      <c r="A500" s="304"/>
      <c r="B500" s="304"/>
      <c r="C500" s="305"/>
      <c r="D500" s="306"/>
      <c r="E500" s="306"/>
      <c r="F500" s="306"/>
      <c r="G500" s="306"/>
      <c r="H500" s="306"/>
    </row>
    <row r="501" spans="1:8">
      <c r="A501" s="304"/>
      <c r="B501" s="304"/>
      <c r="C501" s="305"/>
      <c r="D501" s="306"/>
      <c r="E501" s="306"/>
      <c r="F501" s="306"/>
      <c r="G501" s="306"/>
      <c r="H501" s="306"/>
    </row>
    <row r="502" spans="1:8">
      <c r="A502" s="304"/>
      <c r="B502" s="304"/>
      <c r="C502" s="305"/>
      <c r="D502" s="306"/>
      <c r="E502" s="306"/>
      <c r="F502" s="306"/>
      <c r="G502" s="306"/>
      <c r="H502" s="306"/>
    </row>
    <row r="503" spans="1:8">
      <c r="A503" s="304"/>
      <c r="B503" s="304"/>
      <c r="C503" s="305"/>
      <c r="D503" s="306"/>
      <c r="E503" s="306"/>
      <c r="F503" s="306"/>
      <c r="G503" s="306"/>
      <c r="H503" s="306"/>
    </row>
    <row r="504" spans="1:8">
      <c r="A504" s="304"/>
      <c r="B504" s="304"/>
      <c r="C504" s="305"/>
      <c r="D504" s="306"/>
      <c r="E504" s="306"/>
      <c r="F504" s="306"/>
      <c r="G504" s="306"/>
      <c r="H504" s="306"/>
    </row>
    <row r="505" spans="1:8">
      <c r="A505" s="304"/>
      <c r="B505" s="304"/>
      <c r="C505" s="305"/>
      <c r="D505" s="306"/>
      <c r="E505" s="306"/>
      <c r="F505" s="306"/>
      <c r="G505" s="306"/>
      <c r="H505" s="306"/>
    </row>
    <row r="506" spans="1:8">
      <c r="A506" s="304"/>
      <c r="B506" s="304"/>
      <c r="C506" s="305"/>
      <c r="D506" s="306"/>
      <c r="E506" s="306"/>
      <c r="F506" s="306"/>
      <c r="G506" s="306"/>
      <c r="H506" s="306"/>
    </row>
    <row r="507" spans="1:8">
      <c r="A507" s="304"/>
      <c r="B507" s="304"/>
      <c r="C507" s="305"/>
      <c r="D507" s="306"/>
      <c r="E507" s="306"/>
      <c r="F507" s="306"/>
      <c r="G507" s="306"/>
      <c r="H507" s="306"/>
    </row>
    <row r="508" spans="1:8">
      <c r="A508" s="304"/>
      <c r="B508" s="304"/>
      <c r="C508" s="305"/>
      <c r="D508" s="306"/>
      <c r="E508" s="306"/>
      <c r="F508" s="306"/>
      <c r="G508" s="306"/>
      <c r="H508" s="306"/>
    </row>
    <row r="509" spans="1:8">
      <c r="A509" s="304"/>
      <c r="B509" s="304"/>
      <c r="C509" s="305"/>
      <c r="D509" s="306"/>
      <c r="E509" s="306"/>
      <c r="F509" s="306"/>
      <c r="G509" s="306"/>
      <c r="H509" s="306"/>
    </row>
    <row r="510" spans="1:8">
      <c r="A510" s="304"/>
      <c r="B510" s="304"/>
      <c r="C510" s="305"/>
      <c r="D510" s="306"/>
      <c r="E510" s="306"/>
      <c r="F510" s="306"/>
      <c r="G510" s="306"/>
      <c r="H510" s="306"/>
    </row>
    <row r="511" spans="1:8">
      <c r="A511" s="304"/>
      <c r="B511" s="304"/>
      <c r="C511" s="305"/>
      <c r="D511" s="306"/>
      <c r="E511" s="306"/>
      <c r="F511" s="306"/>
      <c r="G511" s="306"/>
      <c r="H511" s="306"/>
    </row>
    <row r="512" spans="1:8">
      <c r="A512" s="304"/>
      <c r="B512" s="304"/>
      <c r="C512" s="305"/>
      <c r="D512" s="306"/>
      <c r="E512" s="306"/>
      <c r="F512" s="306"/>
      <c r="G512" s="306"/>
      <c r="H512" s="306"/>
    </row>
    <row r="513" spans="1:8">
      <c r="A513" s="304"/>
      <c r="B513" s="304"/>
      <c r="C513" s="305"/>
      <c r="D513" s="306"/>
      <c r="E513" s="306"/>
      <c r="F513" s="306"/>
      <c r="G513" s="306"/>
      <c r="H513" s="306"/>
    </row>
    <row r="514" spans="1:8">
      <c r="A514" s="304"/>
      <c r="B514" s="304"/>
      <c r="C514" s="305"/>
      <c r="D514" s="306"/>
      <c r="E514" s="306"/>
      <c r="F514" s="306"/>
      <c r="G514" s="306"/>
      <c r="H514" s="306"/>
    </row>
    <row r="515" spans="1:8">
      <c r="A515" s="304"/>
      <c r="B515" s="304"/>
      <c r="C515" s="305"/>
      <c r="D515" s="306"/>
      <c r="E515" s="306"/>
      <c r="F515" s="306"/>
      <c r="G515" s="306"/>
      <c r="H515" s="306"/>
    </row>
    <row r="516" spans="1:8">
      <c r="A516" s="304"/>
      <c r="B516" s="304"/>
      <c r="C516" s="305"/>
      <c r="D516" s="306"/>
      <c r="E516" s="306"/>
      <c r="F516" s="306"/>
      <c r="G516" s="306"/>
      <c r="H516" s="306"/>
    </row>
    <row r="517" spans="1:8">
      <c r="A517" s="304"/>
      <c r="B517" s="304"/>
      <c r="C517" s="305"/>
      <c r="D517" s="306"/>
      <c r="E517" s="306"/>
      <c r="F517" s="306"/>
      <c r="G517" s="306"/>
      <c r="H517" s="306"/>
    </row>
    <row r="518" spans="1:8">
      <c r="A518" s="304"/>
      <c r="B518" s="304"/>
      <c r="C518" s="305"/>
      <c r="D518" s="306"/>
      <c r="E518" s="306"/>
      <c r="F518" s="306"/>
      <c r="G518" s="306"/>
      <c r="H518" s="306"/>
    </row>
    <row r="519" spans="1:8">
      <c r="A519" s="304"/>
      <c r="B519" s="304"/>
      <c r="C519" s="305"/>
      <c r="D519" s="306"/>
      <c r="E519" s="306"/>
      <c r="F519" s="306"/>
      <c r="G519" s="306"/>
      <c r="H519" s="306"/>
    </row>
    <row r="520" spans="1:8">
      <c r="A520" s="304"/>
      <c r="B520" s="304"/>
      <c r="C520" s="305"/>
      <c r="D520" s="306"/>
      <c r="E520" s="306"/>
      <c r="F520" s="306"/>
      <c r="G520" s="306"/>
      <c r="H520" s="306"/>
    </row>
    <row r="521" spans="1:8">
      <c r="A521" s="304"/>
      <c r="B521" s="304"/>
      <c r="C521" s="305"/>
      <c r="D521" s="306"/>
      <c r="E521" s="306"/>
      <c r="F521" s="306"/>
      <c r="G521" s="306"/>
      <c r="H521" s="306"/>
    </row>
    <row r="522" spans="1:8">
      <c r="A522" s="304"/>
      <c r="B522" s="304"/>
      <c r="C522" s="305"/>
      <c r="D522" s="306"/>
      <c r="E522" s="306"/>
      <c r="F522" s="306"/>
      <c r="G522" s="306"/>
      <c r="H522" s="306"/>
    </row>
    <row r="523" spans="1:8">
      <c r="A523" s="304"/>
      <c r="B523" s="304"/>
      <c r="C523" s="305"/>
      <c r="D523" s="306"/>
      <c r="E523" s="306"/>
      <c r="F523" s="306"/>
      <c r="G523" s="306"/>
      <c r="H523" s="306"/>
    </row>
    <row r="524" spans="1:8">
      <c r="A524" s="304"/>
      <c r="B524" s="304"/>
      <c r="C524" s="305"/>
      <c r="D524" s="306"/>
      <c r="E524" s="306"/>
      <c r="F524" s="306"/>
      <c r="G524" s="306"/>
      <c r="H524" s="306"/>
    </row>
    <row r="525" spans="1:8">
      <c r="A525" s="304"/>
      <c r="B525" s="304"/>
      <c r="C525" s="305"/>
      <c r="D525" s="306"/>
      <c r="E525" s="306"/>
      <c r="F525" s="306"/>
      <c r="G525" s="306"/>
      <c r="H525" s="306"/>
    </row>
    <row r="526" spans="1:8">
      <c r="A526" s="304"/>
      <c r="B526" s="304"/>
      <c r="C526" s="305"/>
      <c r="D526" s="306"/>
      <c r="E526" s="306"/>
      <c r="F526" s="306"/>
      <c r="G526" s="306"/>
      <c r="H526" s="306"/>
    </row>
    <row r="527" spans="1:8">
      <c r="A527" s="304"/>
      <c r="B527" s="304"/>
      <c r="C527" s="305"/>
      <c r="D527" s="306"/>
      <c r="E527" s="306"/>
      <c r="F527" s="306"/>
      <c r="G527" s="306"/>
      <c r="H527" s="306"/>
    </row>
    <row r="528" spans="1:8">
      <c r="A528" s="304"/>
      <c r="B528" s="304"/>
      <c r="C528" s="305"/>
      <c r="D528" s="306"/>
      <c r="E528" s="306"/>
      <c r="F528" s="306"/>
      <c r="G528" s="306"/>
      <c r="H528" s="306"/>
    </row>
    <row r="529" spans="1:8">
      <c r="A529" s="304"/>
      <c r="B529" s="304"/>
      <c r="C529" s="305"/>
      <c r="D529" s="306"/>
      <c r="E529" s="306"/>
      <c r="F529" s="306"/>
      <c r="G529" s="306"/>
      <c r="H529" s="306"/>
    </row>
    <row r="530" spans="1:8">
      <c r="A530" s="304"/>
      <c r="B530" s="304"/>
      <c r="C530" s="305"/>
      <c r="D530" s="306"/>
      <c r="E530" s="306"/>
      <c r="F530" s="306"/>
      <c r="G530" s="306"/>
      <c r="H530" s="306"/>
    </row>
    <row r="531" spans="1:8">
      <c r="A531" s="304"/>
      <c r="B531" s="304"/>
      <c r="C531" s="305"/>
      <c r="D531" s="306"/>
      <c r="E531" s="306"/>
      <c r="F531" s="306"/>
      <c r="G531" s="306"/>
      <c r="H531" s="306"/>
    </row>
    <row r="532" spans="1:8">
      <c r="A532" s="304"/>
      <c r="B532" s="304"/>
      <c r="C532" s="305"/>
      <c r="D532" s="306"/>
      <c r="E532" s="306"/>
      <c r="F532" s="306"/>
      <c r="G532" s="306"/>
      <c r="H532" s="306"/>
    </row>
    <row r="533" spans="1:8">
      <c r="A533" s="304"/>
      <c r="B533" s="304"/>
      <c r="C533" s="305"/>
      <c r="D533" s="306"/>
      <c r="E533" s="306"/>
      <c r="F533" s="306"/>
      <c r="G533" s="306"/>
      <c r="H533" s="306"/>
    </row>
    <row r="534" spans="1:8">
      <c r="A534" s="304"/>
      <c r="B534" s="304"/>
      <c r="C534" s="305"/>
      <c r="D534" s="306"/>
      <c r="E534" s="306"/>
      <c r="F534" s="306"/>
      <c r="G534" s="306"/>
      <c r="H534" s="306"/>
    </row>
    <row r="535" spans="1:8">
      <c r="A535" s="304"/>
      <c r="B535" s="304"/>
      <c r="C535" s="305"/>
      <c r="D535" s="306"/>
      <c r="E535" s="306"/>
      <c r="F535" s="306"/>
      <c r="G535" s="306"/>
      <c r="H535" s="306"/>
    </row>
    <row r="536" spans="1:8">
      <c r="A536" s="304"/>
      <c r="B536" s="304"/>
      <c r="C536" s="305"/>
      <c r="D536" s="306"/>
      <c r="E536" s="306"/>
      <c r="F536" s="306"/>
      <c r="G536" s="306"/>
      <c r="H536" s="306"/>
    </row>
    <row r="537" spans="1:8">
      <c r="A537" s="304"/>
      <c r="B537" s="304"/>
      <c r="C537" s="305"/>
      <c r="D537" s="306"/>
      <c r="E537" s="306"/>
      <c r="F537" s="306"/>
      <c r="G537" s="306"/>
      <c r="H537" s="306"/>
    </row>
    <row r="538" spans="1:8">
      <c r="A538" s="304"/>
      <c r="B538" s="304"/>
      <c r="C538" s="305"/>
      <c r="D538" s="306"/>
      <c r="E538" s="306"/>
      <c r="F538" s="306"/>
      <c r="G538" s="306"/>
      <c r="H538" s="306"/>
    </row>
    <row r="539" spans="1:8">
      <c r="A539" s="304"/>
      <c r="B539" s="304"/>
      <c r="C539" s="305"/>
      <c r="D539" s="306"/>
      <c r="E539" s="306"/>
      <c r="F539" s="306"/>
      <c r="G539" s="306"/>
      <c r="H539" s="306"/>
    </row>
    <row r="540" spans="1:8">
      <c r="A540" s="304"/>
      <c r="B540" s="304"/>
      <c r="C540" s="305"/>
      <c r="D540" s="306"/>
      <c r="E540" s="306"/>
      <c r="F540" s="306"/>
      <c r="G540" s="306"/>
      <c r="H540" s="306"/>
    </row>
    <row r="541" spans="1:8">
      <c r="A541" s="304"/>
      <c r="B541" s="304"/>
      <c r="C541" s="305"/>
      <c r="D541" s="306"/>
      <c r="E541" s="306"/>
      <c r="F541" s="306"/>
      <c r="G541" s="306"/>
      <c r="H541" s="306"/>
    </row>
    <row r="542" spans="1:8">
      <c r="A542" s="304"/>
      <c r="B542" s="304"/>
      <c r="C542" s="305"/>
      <c r="D542" s="306"/>
      <c r="E542" s="306"/>
      <c r="F542" s="306"/>
      <c r="G542" s="306"/>
      <c r="H542" s="306"/>
    </row>
    <row r="543" spans="1:8">
      <c r="A543" s="304"/>
      <c r="B543" s="304"/>
      <c r="C543" s="305"/>
      <c r="D543" s="306"/>
      <c r="E543" s="306"/>
      <c r="F543" s="306"/>
      <c r="G543" s="306"/>
      <c r="H543" s="306"/>
    </row>
    <row r="544" spans="1:8">
      <c r="A544" s="304"/>
      <c r="B544" s="304"/>
      <c r="C544" s="305"/>
      <c r="D544" s="306"/>
      <c r="E544" s="306"/>
      <c r="F544" s="306"/>
      <c r="G544" s="306"/>
      <c r="H544" s="306"/>
    </row>
    <row r="545" spans="1:8">
      <c r="A545" s="304"/>
      <c r="B545" s="304"/>
      <c r="C545" s="305"/>
      <c r="D545" s="306"/>
      <c r="E545" s="306"/>
      <c r="F545" s="306"/>
      <c r="G545" s="306"/>
      <c r="H545" s="306"/>
    </row>
    <row r="546" spans="1:8">
      <c r="A546" s="304"/>
      <c r="B546" s="304"/>
      <c r="C546" s="305"/>
      <c r="D546" s="306"/>
      <c r="E546" s="306"/>
      <c r="F546" s="306"/>
      <c r="G546" s="306"/>
      <c r="H546" s="306"/>
    </row>
    <row r="547" spans="1:8">
      <c r="A547" s="304"/>
      <c r="B547" s="304"/>
      <c r="C547" s="305"/>
      <c r="D547" s="306"/>
      <c r="E547" s="306"/>
      <c r="F547" s="306"/>
      <c r="G547" s="306"/>
      <c r="H547" s="306"/>
    </row>
    <row r="548" spans="1:8">
      <c r="A548" s="304"/>
      <c r="B548" s="304"/>
      <c r="C548" s="305"/>
      <c r="D548" s="306"/>
      <c r="E548" s="306"/>
      <c r="F548" s="306"/>
      <c r="G548" s="306"/>
      <c r="H548" s="306"/>
    </row>
    <row r="549" spans="1:8">
      <c r="A549" s="304"/>
      <c r="B549" s="304"/>
      <c r="C549" s="305"/>
      <c r="D549" s="306"/>
      <c r="E549" s="306"/>
      <c r="F549" s="306"/>
      <c r="G549" s="306"/>
      <c r="H549" s="306"/>
    </row>
    <row r="550" spans="1:8">
      <c r="A550" s="304"/>
      <c r="B550" s="304"/>
      <c r="C550" s="305"/>
      <c r="D550" s="306"/>
      <c r="E550" s="306"/>
      <c r="F550" s="306"/>
      <c r="G550" s="306"/>
      <c r="H550" s="306"/>
    </row>
    <row r="551" spans="1:8">
      <c r="A551" s="304"/>
      <c r="B551" s="304"/>
      <c r="C551" s="305"/>
      <c r="D551" s="306"/>
      <c r="E551" s="306"/>
      <c r="F551" s="306"/>
      <c r="G551" s="306"/>
      <c r="H551" s="306"/>
    </row>
    <row r="552" spans="1:8">
      <c r="A552" s="304"/>
      <c r="B552" s="304"/>
      <c r="C552" s="305"/>
      <c r="D552" s="306"/>
      <c r="E552" s="306"/>
      <c r="F552" s="306"/>
      <c r="G552" s="306"/>
      <c r="H552" s="306"/>
    </row>
    <row r="553" spans="1:8">
      <c r="A553" s="304"/>
      <c r="B553" s="304"/>
      <c r="C553" s="305"/>
      <c r="D553" s="306"/>
      <c r="E553" s="306"/>
      <c r="F553" s="306"/>
      <c r="G553" s="306"/>
      <c r="H553" s="306"/>
    </row>
    <row r="554" spans="1:8">
      <c r="A554" s="304"/>
      <c r="B554" s="304"/>
      <c r="C554" s="305"/>
      <c r="D554" s="306"/>
      <c r="E554" s="306"/>
      <c r="F554" s="306"/>
      <c r="G554" s="306"/>
      <c r="H554" s="306"/>
    </row>
    <row r="555" spans="1:8">
      <c r="A555" s="304"/>
      <c r="B555" s="304"/>
      <c r="C555" s="305"/>
      <c r="D555" s="306"/>
      <c r="E555" s="306"/>
      <c r="F555" s="306"/>
      <c r="G555" s="306"/>
      <c r="H555" s="306"/>
    </row>
    <row r="556" spans="1:8">
      <c r="A556" s="304"/>
      <c r="B556" s="304"/>
      <c r="C556" s="305"/>
      <c r="D556" s="306"/>
      <c r="E556" s="306"/>
      <c r="F556" s="306"/>
      <c r="G556" s="306"/>
      <c r="H556" s="306"/>
    </row>
    <row r="557" spans="1:8">
      <c r="A557" s="304"/>
      <c r="B557" s="304"/>
      <c r="C557" s="305"/>
      <c r="D557" s="306"/>
      <c r="E557" s="306"/>
      <c r="F557" s="306"/>
      <c r="G557" s="306"/>
      <c r="H557" s="306"/>
    </row>
    <row r="558" spans="1:8">
      <c r="A558" s="304"/>
      <c r="B558" s="304"/>
      <c r="C558" s="305"/>
      <c r="D558" s="306"/>
      <c r="E558" s="306"/>
      <c r="F558" s="306"/>
      <c r="G558" s="306"/>
      <c r="H558" s="306"/>
    </row>
    <row r="559" spans="1:8">
      <c r="A559" s="304"/>
      <c r="B559" s="304"/>
      <c r="C559" s="305"/>
      <c r="D559" s="306"/>
      <c r="E559" s="306"/>
      <c r="F559" s="306"/>
      <c r="G559" s="306"/>
      <c r="H559" s="306"/>
    </row>
    <row r="560" spans="1:8">
      <c r="A560" s="304"/>
      <c r="B560" s="304"/>
      <c r="C560" s="305"/>
      <c r="D560" s="306"/>
      <c r="E560" s="306"/>
      <c r="F560" s="306"/>
      <c r="G560" s="306"/>
      <c r="H560" s="306"/>
    </row>
    <row r="561" spans="1:8">
      <c r="A561" s="304"/>
      <c r="B561" s="304"/>
      <c r="C561" s="305"/>
      <c r="D561" s="306"/>
      <c r="E561" s="306"/>
      <c r="F561" s="306"/>
      <c r="G561" s="306"/>
      <c r="H561" s="306"/>
    </row>
    <row r="562" spans="1:8">
      <c r="A562" s="304"/>
      <c r="B562" s="304"/>
      <c r="C562" s="305"/>
      <c r="D562" s="306"/>
      <c r="E562" s="306"/>
      <c r="F562" s="306"/>
      <c r="G562" s="306"/>
      <c r="H562" s="306"/>
    </row>
    <row r="563" spans="1:8">
      <c r="A563" s="304"/>
      <c r="B563" s="304"/>
      <c r="C563" s="305"/>
      <c r="D563" s="306"/>
      <c r="E563" s="306"/>
      <c r="F563" s="306"/>
      <c r="G563" s="306"/>
      <c r="H563" s="306"/>
    </row>
    <row r="564" spans="1:8">
      <c r="A564" s="304"/>
      <c r="B564" s="304"/>
      <c r="C564" s="305"/>
      <c r="D564" s="306"/>
      <c r="E564" s="306"/>
      <c r="F564" s="306"/>
      <c r="G564" s="306"/>
      <c r="H564" s="306"/>
    </row>
    <row r="565" spans="1:8">
      <c r="A565" s="304"/>
      <c r="B565" s="304"/>
      <c r="C565" s="305"/>
      <c r="D565" s="306"/>
      <c r="E565" s="306"/>
      <c r="F565" s="306"/>
      <c r="G565" s="306"/>
      <c r="H565" s="306"/>
    </row>
    <row r="566" spans="1:8">
      <c r="A566" s="304"/>
      <c r="B566" s="304"/>
      <c r="C566" s="305"/>
      <c r="D566" s="306"/>
      <c r="E566" s="306"/>
      <c r="F566" s="306"/>
      <c r="G566" s="306"/>
      <c r="H566" s="306"/>
    </row>
    <row r="567" spans="1:8">
      <c r="A567" s="304"/>
      <c r="B567" s="304"/>
      <c r="C567" s="305"/>
      <c r="D567" s="306"/>
      <c r="E567" s="306"/>
      <c r="F567" s="306"/>
      <c r="G567" s="306"/>
      <c r="H567" s="306"/>
    </row>
    <row r="568" spans="1:8">
      <c r="A568" s="304"/>
      <c r="B568" s="304"/>
      <c r="C568" s="305"/>
      <c r="D568" s="306"/>
      <c r="E568" s="306"/>
      <c r="F568" s="306"/>
      <c r="G568" s="306"/>
      <c r="H568" s="306"/>
    </row>
    <row r="569" spans="1:8">
      <c r="A569" s="304"/>
      <c r="B569" s="304"/>
      <c r="C569" s="305"/>
      <c r="D569" s="306"/>
      <c r="E569" s="306"/>
      <c r="F569" s="306"/>
      <c r="G569" s="306"/>
      <c r="H569" s="306"/>
    </row>
    <row r="570" spans="1:8">
      <c r="A570" s="304"/>
      <c r="B570" s="304"/>
      <c r="C570" s="305"/>
      <c r="D570" s="306"/>
      <c r="E570" s="306"/>
      <c r="F570" s="306"/>
      <c r="G570" s="306"/>
      <c r="H570" s="306"/>
    </row>
    <row r="571" spans="1:8">
      <c r="A571" s="304"/>
      <c r="B571" s="304"/>
      <c r="C571" s="305"/>
      <c r="D571" s="306"/>
      <c r="E571" s="306"/>
      <c r="F571" s="306"/>
      <c r="G571" s="306"/>
      <c r="H571" s="306"/>
    </row>
    <row r="572" spans="1:8">
      <c r="A572" s="304"/>
      <c r="B572" s="304"/>
      <c r="C572" s="305"/>
      <c r="D572" s="306"/>
      <c r="E572" s="306"/>
      <c r="F572" s="306"/>
      <c r="G572" s="306"/>
      <c r="H572" s="306"/>
    </row>
    <row r="573" spans="1:8">
      <c r="A573" s="304"/>
      <c r="B573" s="304"/>
      <c r="C573" s="305"/>
      <c r="D573" s="306"/>
      <c r="E573" s="306"/>
      <c r="F573" s="306"/>
      <c r="G573" s="306"/>
      <c r="H573" s="306"/>
    </row>
    <row r="574" spans="1:8">
      <c r="A574" s="304"/>
      <c r="B574" s="304"/>
      <c r="C574" s="305"/>
      <c r="D574" s="306"/>
      <c r="E574" s="306"/>
      <c r="F574" s="306"/>
      <c r="G574" s="306"/>
      <c r="H574" s="306"/>
    </row>
    <row r="575" spans="1:8">
      <c r="A575" s="304"/>
      <c r="B575" s="304"/>
      <c r="C575" s="305"/>
      <c r="D575" s="306"/>
      <c r="E575" s="306"/>
      <c r="F575" s="306"/>
      <c r="G575" s="306"/>
      <c r="H575" s="306"/>
    </row>
    <row r="576" spans="1:8">
      <c r="A576" s="304"/>
      <c r="B576" s="304"/>
      <c r="C576" s="305"/>
      <c r="D576" s="306"/>
      <c r="E576" s="306"/>
      <c r="F576" s="306"/>
      <c r="G576" s="306"/>
      <c r="H576" s="306"/>
    </row>
    <row r="577" spans="1:8">
      <c r="A577" s="304"/>
      <c r="B577" s="304"/>
      <c r="C577" s="305"/>
      <c r="D577" s="306"/>
      <c r="E577" s="306"/>
      <c r="F577" s="306"/>
      <c r="G577" s="306"/>
      <c r="H577" s="306"/>
    </row>
    <row r="578" spans="1:8">
      <c r="A578" s="304"/>
      <c r="B578" s="304"/>
      <c r="C578" s="305"/>
      <c r="D578" s="306"/>
      <c r="E578" s="306"/>
      <c r="F578" s="306"/>
      <c r="G578" s="306"/>
      <c r="H578" s="306"/>
    </row>
    <row r="579" spans="1:8">
      <c r="A579" s="304"/>
      <c r="B579" s="304"/>
      <c r="C579" s="305"/>
      <c r="D579" s="306"/>
      <c r="E579" s="306"/>
      <c r="F579" s="306"/>
      <c r="G579" s="306"/>
      <c r="H579" s="306"/>
    </row>
    <row r="580" spans="1:8">
      <c r="A580" s="304"/>
      <c r="B580" s="304"/>
      <c r="C580" s="305"/>
      <c r="D580" s="306"/>
      <c r="E580" s="306"/>
      <c r="F580" s="306"/>
      <c r="G580" s="306"/>
      <c r="H580" s="306"/>
    </row>
    <row r="581" spans="1:8">
      <c r="A581" s="304"/>
      <c r="B581" s="304"/>
      <c r="C581" s="305"/>
      <c r="D581" s="306"/>
      <c r="E581" s="306"/>
      <c r="F581" s="306"/>
      <c r="G581" s="306"/>
      <c r="H581" s="306"/>
    </row>
    <row r="582" spans="1:8">
      <c r="A582" s="304"/>
      <c r="B582" s="304"/>
      <c r="C582" s="305"/>
      <c r="D582" s="306"/>
      <c r="E582" s="306"/>
      <c r="F582" s="306"/>
      <c r="G582" s="306"/>
      <c r="H582" s="306"/>
    </row>
    <row r="583" spans="1:8">
      <c r="A583" s="304"/>
      <c r="B583" s="304"/>
      <c r="C583" s="305"/>
      <c r="D583" s="306"/>
      <c r="E583" s="306"/>
      <c r="F583" s="306"/>
      <c r="G583" s="306"/>
      <c r="H583" s="306"/>
    </row>
    <row r="584" spans="1:8">
      <c r="A584" s="304"/>
      <c r="B584" s="304"/>
      <c r="C584" s="305"/>
      <c r="D584" s="306"/>
      <c r="E584" s="306"/>
      <c r="F584" s="306"/>
      <c r="G584" s="306"/>
      <c r="H584" s="306"/>
    </row>
    <row r="585" spans="1:8">
      <c r="A585" s="304"/>
      <c r="B585" s="304"/>
      <c r="C585" s="305"/>
      <c r="D585" s="306"/>
      <c r="E585" s="306"/>
      <c r="F585" s="306"/>
      <c r="G585" s="306"/>
      <c r="H585" s="306"/>
    </row>
    <row r="586" spans="1:8">
      <c r="A586" s="304"/>
      <c r="B586" s="304"/>
      <c r="C586" s="305"/>
      <c r="D586" s="306"/>
      <c r="E586" s="306"/>
      <c r="F586" s="306"/>
      <c r="G586" s="306"/>
      <c r="H586" s="306"/>
    </row>
    <row r="587" spans="1:8">
      <c r="A587" s="304"/>
      <c r="B587" s="304"/>
      <c r="C587" s="305"/>
      <c r="D587" s="306"/>
      <c r="E587" s="306"/>
      <c r="F587" s="306"/>
      <c r="G587" s="306"/>
      <c r="H587" s="306"/>
    </row>
    <row r="588" spans="1:8">
      <c r="A588" s="304"/>
      <c r="B588" s="304"/>
      <c r="C588" s="305"/>
      <c r="D588" s="306"/>
      <c r="E588" s="306"/>
      <c r="F588" s="306"/>
      <c r="G588" s="306"/>
      <c r="H588" s="306"/>
    </row>
    <row r="589" spans="1:8">
      <c r="A589" s="304"/>
      <c r="B589" s="304"/>
      <c r="C589" s="305"/>
      <c r="D589" s="306"/>
      <c r="E589" s="306"/>
      <c r="F589" s="306"/>
      <c r="G589" s="306"/>
      <c r="H589" s="306"/>
    </row>
    <row r="590" spans="1:8">
      <c r="A590" s="304"/>
      <c r="B590" s="304"/>
      <c r="C590" s="305"/>
      <c r="D590" s="306"/>
      <c r="E590" s="306"/>
      <c r="F590" s="306"/>
      <c r="G590" s="306"/>
      <c r="H590" s="306"/>
    </row>
    <row r="591" spans="1:8">
      <c r="A591" s="304"/>
      <c r="B591" s="304"/>
      <c r="C591" s="305"/>
      <c r="D591" s="306"/>
      <c r="E591" s="306"/>
      <c r="F591" s="306"/>
      <c r="G591" s="306"/>
      <c r="H591" s="306"/>
    </row>
    <row r="592" spans="1:8">
      <c r="A592" s="304"/>
      <c r="B592" s="304"/>
      <c r="C592" s="305"/>
      <c r="D592" s="306"/>
      <c r="E592" s="306"/>
      <c r="F592" s="306"/>
      <c r="G592" s="306"/>
      <c r="H592" s="306"/>
    </row>
    <row r="593" spans="1:8">
      <c r="A593" s="304"/>
      <c r="B593" s="304"/>
      <c r="C593" s="305"/>
      <c r="D593" s="306"/>
      <c r="E593" s="306"/>
      <c r="F593" s="306"/>
      <c r="G593" s="306"/>
      <c r="H593" s="306"/>
    </row>
    <row r="594" spans="1:8">
      <c r="A594" s="304"/>
      <c r="B594" s="304"/>
      <c r="C594" s="305"/>
      <c r="D594" s="306"/>
      <c r="E594" s="306"/>
      <c r="F594" s="306"/>
      <c r="G594" s="306"/>
      <c r="H594" s="306"/>
    </row>
    <row r="595" spans="1:8">
      <c r="A595" s="304"/>
      <c r="B595" s="304"/>
      <c r="C595" s="305"/>
      <c r="D595" s="306"/>
      <c r="E595" s="306"/>
      <c r="F595" s="306"/>
      <c r="G595" s="306"/>
      <c r="H595" s="306"/>
    </row>
    <row r="596" spans="1:8">
      <c r="A596" s="304"/>
      <c r="B596" s="304"/>
      <c r="C596" s="305"/>
      <c r="D596" s="306"/>
      <c r="E596" s="306"/>
      <c r="F596" s="306"/>
      <c r="G596" s="306"/>
      <c r="H596" s="306"/>
    </row>
    <row r="597" spans="1:8">
      <c r="A597" s="304"/>
      <c r="B597" s="304"/>
      <c r="C597" s="305"/>
      <c r="D597" s="306"/>
      <c r="E597" s="306"/>
      <c r="F597" s="306"/>
      <c r="G597" s="306"/>
      <c r="H597" s="306"/>
    </row>
    <row r="598" spans="1:8">
      <c r="A598" s="304"/>
      <c r="B598" s="304"/>
      <c r="C598" s="305"/>
      <c r="D598" s="306"/>
      <c r="E598" s="306"/>
      <c r="F598" s="306"/>
      <c r="G598" s="306"/>
      <c r="H598" s="306"/>
    </row>
    <row r="599" spans="1:8">
      <c r="A599" s="304"/>
      <c r="B599" s="304"/>
      <c r="C599" s="305"/>
      <c r="D599" s="306"/>
      <c r="E599" s="306"/>
      <c r="F599" s="306"/>
      <c r="G599" s="306"/>
      <c r="H599" s="306"/>
    </row>
    <row r="600" spans="1:8">
      <c r="A600" s="304"/>
      <c r="B600" s="304"/>
      <c r="C600" s="305"/>
      <c r="D600" s="306"/>
      <c r="E600" s="306"/>
      <c r="F600" s="306"/>
      <c r="G600" s="306"/>
      <c r="H600" s="306"/>
    </row>
    <row r="601" spans="1:8">
      <c r="A601" s="304"/>
      <c r="B601" s="304"/>
      <c r="C601" s="305"/>
      <c r="D601" s="306"/>
      <c r="E601" s="306"/>
      <c r="F601" s="306"/>
      <c r="G601" s="306"/>
      <c r="H601" s="306"/>
    </row>
    <row r="602" spans="1:8">
      <c r="A602" s="304"/>
      <c r="B602" s="304"/>
      <c r="C602" s="305"/>
      <c r="D602" s="306"/>
      <c r="E602" s="306"/>
      <c r="F602" s="306"/>
      <c r="G602" s="306"/>
      <c r="H602" s="306"/>
    </row>
    <row r="603" spans="1:8">
      <c r="A603" s="304"/>
      <c r="B603" s="304"/>
      <c r="C603" s="305"/>
      <c r="D603" s="306"/>
      <c r="E603" s="306"/>
      <c r="F603" s="306"/>
      <c r="G603" s="306"/>
      <c r="H603" s="306"/>
    </row>
    <row r="604" spans="1:8">
      <c r="A604" s="304"/>
      <c r="B604" s="304"/>
      <c r="C604" s="305"/>
      <c r="D604" s="306"/>
      <c r="E604" s="306"/>
      <c r="F604" s="306"/>
      <c r="G604" s="306"/>
      <c r="H604" s="306"/>
    </row>
    <row r="605" spans="1:8">
      <c r="A605" s="304"/>
      <c r="B605" s="304"/>
      <c r="C605" s="305"/>
      <c r="D605" s="306"/>
      <c r="E605" s="306"/>
      <c r="F605" s="306"/>
      <c r="G605" s="306"/>
      <c r="H605" s="306"/>
    </row>
    <row r="606" spans="1:8">
      <c r="A606" s="304"/>
      <c r="B606" s="304"/>
      <c r="C606" s="305"/>
      <c r="D606" s="306"/>
      <c r="E606" s="306"/>
      <c r="F606" s="306"/>
      <c r="G606" s="306"/>
      <c r="H606" s="306"/>
    </row>
    <row r="607" spans="1:8">
      <c r="A607" s="304"/>
      <c r="B607" s="304"/>
      <c r="C607" s="305"/>
      <c r="D607" s="306"/>
      <c r="E607" s="306"/>
      <c r="F607" s="306"/>
      <c r="G607" s="306"/>
      <c r="H607" s="306"/>
    </row>
    <row r="608" spans="1:8">
      <c r="A608" s="304"/>
      <c r="B608" s="304"/>
      <c r="C608" s="305"/>
      <c r="D608" s="306"/>
      <c r="E608" s="306"/>
      <c r="F608" s="306"/>
      <c r="G608" s="306"/>
      <c r="H608" s="306"/>
    </row>
    <row r="609" spans="1:8">
      <c r="A609" s="304"/>
      <c r="B609" s="304"/>
      <c r="C609" s="305"/>
      <c r="D609" s="306"/>
      <c r="E609" s="306"/>
      <c r="F609" s="306"/>
      <c r="G609" s="306"/>
      <c r="H609" s="306"/>
    </row>
    <row r="610" spans="1:8">
      <c r="A610" s="304"/>
      <c r="B610" s="304"/>
      <c r="C610" s="305"/>
      <c r="D610" s="306"/>
      <c r="E610" s="306"/>
      <c r="F610" s="306"/>
      <c r="G610" s="306"/>
      <c r="H610" s="306"/>
    </row>
    <row r="611" spans="1:8">
      <c r="A611" s="304"/>
      <c r="B611" s="304"/>
      <c r="C611" s="305"/>
      <c r="D611" s="306"/>
      <c r="E611" s="306"/>
      <c r="F611" s="306"/>
      <c r="G611" s="306"/>
      <c r="H611" s="306"/>
    </row>
    <row r="612" spans="1:8">
      <c r="A612" s="304"/>
      <c r="B612" s="304"/>
      <c r="C612" s="305"/>
      <c r="D612" s="306"/>
      <c r="E612" s="306"/>
      <c r="F612" s="306"/>
      <c r="G612" s="306"/>
      <c r="H612" s="306"/>
    </row>
    <row r="613" spans="1:8">
      <c r="A613" s="304"/>
      <c r="B613" s="304"/>
      <c r="C613" s="305"/>
      <c r="D613" s="306"/>
      <c r="E613" s="306"/>
      <c r="F613" s="306"/>
      <c r="G613" s="306"/>
      <c r="H613" s="306"/>
    </row>
    <row r="614" spans="1:8">
      <c r="A614" s="304"/>
      <c r="B614" s="304"/>
      <c r="C614" s="305"/>
      <c r="D614" s="306"/>
      <c r="E614" s="306"/>
      <c r="F614" s="306"/>
      <c r="G614" s="306"/>
      <c r="H614" s="306"/>
    </row>
    <row r="615" spans="1:8">
      <c r="A615" s="304"/>
      <c r="B615" s="304"/>
      <c r="C615" s="305"/>
      <c r="D615" s="306"/>
      <c r="E615" s="306"/>
      <c r="F615" s="306"/>
      <c r="G615" s="306"/>
      <c r="H615" s="306"/>
    </row>
    <row r="616" spans="1:8">
      <c r="A616" s="304"/>
      <c r="B616" s="304"/>
      <c r="C616" s="305"/>
      <c r="D616" s="306"/>
      <c r="E616" s="306"/>
      <c r="F616" s="306"/>
      <c r="G616" s="306"/>
      <c r="H616" s="306"/>
    </row>
    <row r="617" spans="1:8">
      <c r="A617" s="304"/>
      <c r="B617" s="304"/>
      <c r="C617" s="305"/>
      <c r="D617" s="306"/>
      <c r="E617" s="306"/>
      <c r="F617" s="306"/>
      <c r="G617" s="306"/>
      <c r="H617" s="306"/>
    </row>
    <row r="618" spans="1:8">
      <c r="A618" s="304"/>
      <c r="B618" s="304"/>
      <c r="C618" s="305"/>
      <c r="D618" s="306"/>
      <c r="E618" s="306"/>
      <c r="F618" s="306"/>
      <c r="G618" s="306"/>
      <c r="H618" s="306"/>
    </row>
    <row r="619" spans="1:8">
      <c r="A619" s="304"/>
      <c r="B619" s="304"/>
      <c r="C619" s="305"/>
      <c r="D619" s="306"/>
      <c r="E619" s="306"/>
      <c r="F619" s="306"/>
      <c r="G619" s="306"/>
      <c r="H619" s="306"/>
    </row>
    <row r="620" spans="1:8">
      <c r="A620" s="304"/>
      <c r="B620" s="304"/>
      <c r="C620" s="305"/>
      <c r="D620" s="306"/>
      <c r="E620" s="306"/>
      <c r="F620" s="306"/>
      <c r="G620" s="306"/>
      <c r="H620" s="306"/>
    </row>
    <row r="621" spans="1:8">
      <c r="A621" s="304"/>
      <c r="B621" s="304"/>
      <c r="C621" s="305"/>
      <c r="D621" s="306"/>
      <c r="E621" s="306"/>
      <c r="F621" s="306"/>
      <c r="G621" s="306"/>
      <c r="H621" s="306"/>
    </row>
    <row r="622" spans="1:8">
      <c r="A622" s="304"/>
      <c r="B622" s="304"/>
      <c r="C622" s="305"/>
      <c r="D622" s="306"/>
      <c r="E622" s="306"/>
      <c r="F622" s="306"/>
      <c r="G622" s="306"/>
      <c r="H622" s="306"/>
    </row>
    <row r="623" spans="1:8">
      <c r="A623" s="304"/>
      <c r="B623" s="304"/>
      <c r="C623" s="305"/>
      <c r="D623" s="306"/>
      <c r="E623" s="306"/>
      <c r="F623" s="306"/>
      <c r="G623" s="306"/>
      <c r="H623" s="306"/>
    </row>
    <row r="624" spans="1:8">
      <c r="A624" s="304"/>
      <c r="B624" s="304"/>
      <c r="C624" s="305"/>
      <c r="D624" s="306"/>
      <c r="E624" s="306"/>
      <c r="F624" s="306"/>
      <c r="G624" s="306"/>
      <c r="H624" s="306"/>
    </row>
    <row r="625" spans="1:8">
      <c r="A625" s="304"/>
      <c r="B625" s="304"/>
      <c r="C625" s="305"/>
      <c r="D625" s="306"/>
      <c r="E625" s="306"/>
      <c r="F625" s="306"/>
      <c r="G625" s="306"/>
      <c r="H625" s="306"/>
    </row>
    <row r="626" spans="1:8">
      <c r="A626" s="304"/>
      <c r="B626" s="304"/>
      <c r="C626" s="305"/>
      <c r="D626" s="306"/>
      <c r="E626" s="306"/>
      <c r="F626" s="306"/>
      <c r="G626" s="306"/>
      <c r="H626" s="306"/>
    </row>
    <row r="627" spans="1:8">
      <c r="A627" s="304"/>
      <c r="B627" s="304"/>
      <c r="C627" s="305"/>
      <c r="D627" s="306"/>
      <c r="E627" s="306"/>
      <c r="F627" s="306"/>
      <c r="G627" s="306"/>
      <c r="H627" s="306"/>
    </row>
    <row r="628" spans="1:8">
      <c r="A628" s="304"/>
      <c r="B628" s="304"/>
      <c r="C628" s="305"/>
      <c r="D628" s="306"/>
      <c r="E628" s="306"/>
      <c r="F628" s="306"/>
      <c r="G628" s="306"/>
      <c r="H628" s="306"/>
    </row>
    <row r="629" spans="1:8">
      <c r="A629" s="304"/>
      <c r="B629" s="304"/>
      <c r="C629" s="305"/>
      <c r="D629" s="306"/>
      <c r="E629" s="306"/>
      <c r="F629" s="306"/>
      <c r="G629" s="306"/>
      <c r="H629" s="306"/>
    </row>
    <row r="630" spans="1:8">
      <c r="A630" s="304"/>
      <c r="B630" s="304"/>
      <c r="C630" s="305"/>
      <c r="D630" s="306"/>
      <c r="E630" s="306"/>
      <c r="F630" s="306"/>
      <c r="G630" s="306"/>
      <c r="H630" s="306"/>
    </row>
    <row r="631" spans="1:8">
      <c r="A631" s="304"/>
      <c r="B631" s="304"/>
      <c r="C631" s="305"/>
      <c r="D631" s="306"/>
      <c r="E631" s="306"/>
      <c r="F631" s="306"/>
      <c r="G631" s="306"/>
      <c r="H631" s="306"/>
    </row>
    <row r="632" spans="1:8">
      <c r="A632" s="304"/>
      <c r="B632" s="304"/>
      <c r="C632" s="305"/>
      <c r="D632" s="306"/>
      <c r="E632" s="306"/>
      <c r="F632" s="306"/>
      <c r="G632" s="306"/>
      <c r="H632" s="306"/>
    </row>
    <row r="633" spans="1:8">
      <c r="A633" s="304"/>
      <c r="B633" s="304"/>
      <c r="C633" s="305"/>
      <c r="D633" s="306"/>
      <c r="E633" s="306"/>
      <c r="F633" s="306"/>
      <c r="G633" s="306"/>
      <c r="H633" s="306"/>
    </row>
    <row r="634" spans="1:8">
      <c r="A634" s="304"/>
      <c r="B634" s="304"/>
      <c r="C634" s="305"/>
      <c r="D634" s="306"/>
      <c r="E634" s="306"/>
      <c r="F634" s="306"/>
      <c r="G634" s="306"/>
      <c r="H634" s="306"/>
    </row>
    <row r="635" spans="1:8">
      <c r="A635" s="304"/>
      <c r="B635" s="304"/>
      <c r="C635" s="305"/>
      <c r="D635" s="306"/>
      <c r="E635" s="306"/>
      <c r="F635" s="306"/>
      <c r="G635" s="306"/>
      <c r="H635" s="306"/>
    </row>
    <row r="636" spans="1:8">
      <c r="A636" s="304"/>
      <c r="B636" s="304"/>
      <c r="C636" s="305"/>
      <c r="D636" s="306"/>
      <c r="E636" s="306"/>
      <c r="F636" s="306"/>
      <c r="G636" s="306"/>
      <c r="H636" s="306"/>
    </row>
    <row r="637" spans="1:8">
      <c r="A637" s="304"/>
      <c r="B637" s="304"/>
      <c r="C637" s="305"/>
      <c r="D637" s="306"/>
      <c r="E637" s="306"/>
      <c r="F637" s="306"/>
      <c r="G637" s="306"/>
      <c r="H637" s="306"/>
    </row>
    <row r="638" spans="1:8">
      <c r="A638" s="304"/>
      <c r="B638" s="304"/>
      <c r="C638" s="305"/>
      <c r="D638" s="306"/>
      <c r="E638" s="306"/>
      <c r="F638" s="306"/>
      <c r="G638" s="306"/>
      <c r="H638" s="306"/>
    </row>
    <row r="639" spans="1:8">
      <c r="A639" s="304"/>
      <c r="B639" s="304"/>
      <c r="C639" s="305"/>
      <c r="D639" s="306"/>
      <c r="E639" s="306"/>
      <c r="F639" s="306"/>
      <c r="G639" s="306"/>
      <c r="H639" s="306"/>
    </row>
    <row r="640" spans="1:8">
      <c r="A640" s="304"/>
      <c r="B640" s="304"/>
      <c r="C640" s="305"/>
      <c r="D640" s="306"/>
      <c r="E640" s="306"/>
      <c r="F640" s="306"/>
      <c r="G640" s="306"/>
      <c r="H640" s="306"/>
    </row>
    <row r="641" spans="1:8">
      <c r="A641" s="304"/>
      <c r="B641" s="304"/>
      <c r="C641" s="305"/>
      <c r="D641" s="306"/>
      <c r="E641" s="306"/>
      <c r="F641" s="306"/>
      <c r="G641" s="306"/>
      <c r="H641" s="306"/>
    </row>
    <row r="642" spans="1:8">
      <c r="A642" s="304"/>
      <c r="B642" s="304"/>
      <c r="C642" s="305"/>
      <c r="D642" s="306"/>
      <c r="E642" s="306"/>
      <c r="F642" s="306"/>
      <c r="G642" s="306"/>
      <c r="H642" s="306"/>
    </row>
    <row r="643" spans="1:8">
      <c r="A643" s="304"/>
      <c r="B643" s="304"/>
      <c r="C643" s="305"/>
      <c r="D643" s="306"/>
      <c r="E643" s="306"/>
      <c r="F643" s="306"/>
      <c r="G643" s="306"/>
      <c r="H643" s="306"/>
    </row>
    <row r="644" spans="1:8">
      <c r="A644" s="304"/>
      <c r="B644" s="304"/>
      <c r="C644" s="305"/>
      <c r="D644" s="306"/>
      <c r="E644" s="306"/>
      <c r="F644" s="306"/>
      <c r="G644" s="306"/>
      <c r="H644" s="306"/>
    </row>
    <row r="645" spans="1:8">
      <c r="A645" s="304"/>
      <c r="B645" s="304"/>
      <c r="C645" s="305"/>
      <c r="D645" s="306"/>
      <c r="E645" s="306"/>
      <c r="F645" s="306"/>
      <c r="G645" s="306"/>
      <c r="H645" s="306"/>
    </row>
    <row r="646" spans="1:8">
      <c r="A646" s="304"/>
      <c r="B646" s="304"/>
      <c r="C646" s="305"/>
      <c r="D646" s="306"/>
      <c r="E646" s="306"/>
      <c r="F646" s="306"/>
      <c r="G646" s="306"/>
      <c r="H646" s="306"/>
    </row>
    <row r="647" spans="1:8">
      <c r="A647" s="304"/>
      <c r="B647" s="304"/>
      <c r="C647" s="305"/>
      <c r="D647" s="306"/>
      <c r="E647" s="306"/>
      <c r="F647" s="306"/>
      <c r="G647" s="306"/>
      <c r="H647" s="306"/>
    </row>
    <row r="648" spans="1:8">
      <c r="A648" s="304"/>
      <c r="B648" s="304"/>
      <c r="C648" s="305"/>
      <c r="D648" s="306"/>
      <c r="E648" s="306"/>
      <c r="F648" s="306"/>
      <c r="G648" s="306"/>
      <c r="H648" s="306"/>
    </row>
    <row r="649" spans="1:8">
      <c r="A649" s="304"/>
      <c r="B649" s="304"/>
      <c r="C649" s="305"/>
      <c r="D649" s="306"/>
      <c r="E649" s="306"/>
      <c r="F649" s="306"/>
      <c r="G649" s="306"/>
      <c r="H649" s="306"/>
    </row>
    <row r="650" spans="1:8">
      <c r="A650" s="304"/>
      <c r="B650" s="304"/>
      <c r="C650" s="305"/>
      <c r="D650" s="306"/>
      <c r="E650" s="306"/>
      <c r="F650" s="306"/>
      <c r="G650" s="306"/>
      <c r="H650" s="306"/>
    </row>
    <row r="651" spans="1:8">
      <c r="A651" s="304"/>
      <c r="B651" s="304"/>
      <c r="C651" s="305"/>
      <c r="D651" s="306"/>
      <c r="E651" s="306"/>
      <c r="F651" s="306"/>
      <c r="G651" s="306"/>
      <c r="H651" s="306"/>
    </row>
    <row r="652" spans="1:8">
      <c r="A652" s="304"/>
      <c r="B652" s="304"/>
      <c r="C652" s="305"/>
      <c r="D652" s="306"/>
      <c r="E652" s="306"/>
      <c r="F652" s="306"/>
      <c r="G652" s="306"/>
      <c r="H652" s="306"/>
    </row>
    <row r="653" spans="1:8">
      <c r="B653" s="309"/>
    </row>
    <row r="654" spans="1:8">
      <c r="B654" s="309"/>
    </row>
    <row r="655" spans="1:8">
      <c r="B655" s="309"/>
    </row>
    <row r="656" spans="1:8">
      <c r="B656" s="309"/>
    </row>
    <row r="657" spans="2:2">
      <c r="B657" s="309"/>
    </row>
    <row r="658" spans="2:2">
      <c r="B658" s="309"/>
    </row>
    <row r="659" spans="2:2">
      <c r="B659" s="309"/>
    </row>
    <row r="660" spans="2:2">
      <c r="B660" s="309"/>
    </row>
    <row r="661" spans="2:2">
      <c r="B661" s="309"/>
    </row>
    <row r="662" spans="2:2">
      <c r="B662" s="309"/>
    </row>
    <row r="663" spans="2:2">
      <c r="B663" s="309"/>
    </row>
    <row r="664" spans="2:2">
      <c r="B664" s="309"/>
    </row>
    <row r="665" spans="2:2">
      <c r="B665" s="309"/>
    </row>
    <row r="666" spans="2:2">
      <c r="B666" s="309"/>
    </row>
    <row r="667" spans="2:2">
      <c r="B667" s="309"/>
    </row>
    <row r="668" spans="2:2">
      <c r="B668" s="309"/>
    </row>
    <row r="669" spans="2:2">
      <c r="B669" s="309"/>
    </row>
    <row r="670" spans="2:2">
      <c r="B670" s="309"/>
    </row>
    <row r="671" spans="2:2">
      <c r="B671" s="309"/>
    </row>
    <row r="672" spans="2:2">
      <c r="B672" s="309"/>
    </row>
    <row r="673" spans="2:2">
      <c r="B673" s="309"/>
    </row>
    <row r="674" spans="2:2">
      <c r="B674" s="309"/>
    </row>
    <row r="675" spans="2:2">
      <c r="B675" s="309"/>
    </row>
    <row r="676" spans="2:2">
      <c r="B676" s="309"/>
    </row>
    <row r="677" spans="2:2">
      <c r="B677" s="309"/>
    </row>
    <row r="678" spans="2:2">
      <c r="B678" s="309"/>
    </row>
    <row r="679" spans="2:2">
      <c r="B679" s="309"/>
    </row>
    <row r="680" spans="2:2">
      <c r="B680" s="309"/>
    </row>
    <row r="681" spans="2:2">
      <c r="B681" s="309"/>
    </row>
    <row r="682" spans="2:2">
      <c r="B682" s="309"/>
    </row>
    <row r="683" spans="2:2">
      <c r="B683" s="309"/>
    </row>
    <row r="684" spans="2:2">
      <c r="B684" s="309"/>
    </row>
    <row r="685" spans="2:2">
      <c r="B685" s="309"/>
    </row>
    <row r="686" spans="2:2">
      <c r="B686" s="309"/>
    </row>
    <row r="687" spans="2:2">
      <c r="B687" s="309"/>
    </row>
    <row r="688" spans="2:2">
      <c r="B688" s="309"/>
    </row>
    <row r="689" spans="2:2">
      <c r="B689" s="309"/>
    </row>
    <row r="690" spans="2:2">
      <c r="B690" s="309"/>
    </row>
    <row r="691" spans="2:2">
      <c r="B691" s="309"/>
    </row>
    <row r="692" spans="2:2">
      <c r="B692" s="309"/>
    </row>
    <row r="693" spans="2:2">
      <c r="B693" s="309"/>
    </row>
    <row r="694" spans="2:2">
      <c r="B694" s="309"/>
    </row>
    <row r="695" spans="2:2">
      <c r="B695" s="309"/>
    </row>
    <row r="696" spans="2:2">
      <c r="B696" s="309"/>
    </row>
    <row r="697" spans="2:2">
      <c r="B697" s="309"/>
    </row>
    <row r="698" spans="2:2">
      <c r="B698" s="309"/>
    </row>
    <row r="699" spans="2:2">
      <c r="B699" s="309"/>
    </row>
    <row r="700" spans="2:2">
      <c r="B700" s="309"/>
    </row>
    <row r="701" spans="2:2">
      <c r="B701" s="309"/>
    </row>
    <row r="702" spans="2:2">
      <c r="B702" s="309"/>
    </row>
    <row r="703" spans="2:2">
      <c r="B703" s="309"/>
    </row>
    <row r="704" spans="2:2">
      <c r="B704" s="309"/>
    </row>
    <row r="705" spans="2:2">
      <c r="B705" s="309"/>
    </row>
    <row r="706" spans="2:2">
      <c r="B706" s="309"/>
    </row>
    <row r="707" spans="2:2">
      <c r="B707" s="309"/>
    </row>
    <row r="708" spans="2:2">
      <c r="B708" s="309"/>
    </row>
    <row r="709" spans="2:2">
      <c r="B709" s="309"/>
    </row>
    <row r="710" spans="2:2">
      <c r="B710" s="309"/>
    </row>
    <row r="711" spans="2:2">
      <c r="B711" s="309"/>
    </row>
    <row r="712" spans="2:2">
      <c r="B712" s="309"/>
    </row>
    <row r="713" spans="2:2">
      <c r="B713" s="309"/>
    </row>
    <row r="714" spans="2:2">
      <c r="B714" s="309"/>
    </row>
    <row r="715" spans="2:2">
      <c r="B715" s="309"/>
    </row>
    <row r="716" spans="2:2">
      <c r="B716" s="309"/>
    </row>
    <row r="717" spans="2:2">
      <c r="B717" s="309"/>
    </row>
    <row r="718" spans="2:2">
      <c r="B718" s="309"/>
    </row>
    <row r="719" spans="2:2">
      <c r="B719" s="309"/>
    </row>
    <row r="720" spans="2:2">
      <c r="B720" s="309"/>
    </row>
    <row r="721" spans="2:2">
      <c r="B721" s="309"/>
    </row>
    <row r="722" spans="2:2">
      <c r="B722" s="309"/>
    </row>
    <row r="723" spans="2:2">
      <c r="B723" s="309"/>
    </row>
    <row r="724" spans="2:2">
      <c r="B724" s="309"/>
    </row>
    <row r="725" spans="2:2">
      <c r="B725" s="309"/>
    </row>
    <row r="726" spans="2:2">
      <c r="B726" s="309"/>
    </row>
    <row r="727" spans="2:2">
      <c r="B727" s="309"/>
    </row>
    <row r="728" spans="2:2">
      <c r="B728" s="309"/>
    </row>
    <row r="729" spans="2:2">
      <c r="B729" s="309"/>
    </row>
    <row r="730" spans="2:2">
      <c r="B730" s="309"/>
    </row>
    <row r="731" spans="2:2">
      <c r="B731" s="309"/>
    </row>
    <row r="732" spans="2:2">
      <c r="B732" s="309"/>
    </row>
    <row r="733" spans="2:2">
      <c r="B733" s="309"/>
    </row>
    <row r="734" spans="2:2">
      <c r="B734" s="309"/>
    </row>
    <row r="735" spans="2:2">
      <c r="B735" s="309"/>
    </row>
    <row r="736" spans="2:2">
      <c r="B736" s="309"/>
    </row>
    <row r="737" spans="2:2">
      <c r="B737" s="309"/>
    </row>
    <row r="738" spans="2:2">
      <c r="B738" s="309"/>
    </row>
    <row r="739" spans="2:2">
      <c r="B739" s="309"/>
    </row>
    <row r="740" spans="2:2">
      <c r="B740" s="309"/>
    </row>
    <row r="741" spans="2:2">
      <c r="B741" s="309"/>
    </row>
    <row r="742" spans="2:2">
      <c r="B742" s="309"/>
    </row>
    <row r="743" spans="2:2">
      <c r="B743" s="309"/>
    </row>
    <row r="744" spans="2:2">
      <c r="B744" s="309"/>
    </row>
    <row r="745" spans="2:2">
      <c r="B745" s="309"/>
    </row>
    <row r="746" spans="2:2">
      <c r="B746" s="309"/>
    </row>
    <row r="747" spans="2:2">
      <c r="B747" s="309"/>
    </row>
    <row r="748" spans="2:2">
      <c r="B748" s="309"/>
    </row>
    <row r="749" spans="2:2">
      <c r="B749" s="309"/>
    </row>
    <row r="750" spans="2:2">
      <c r="B750" s="309"/>
    </row>
    <row r="751" spans="2:2">
      <c r="B751" s="309"/>
    </row>
    <row r="752" spans="2:2">
      <c r="B752" s="309"/>
    </row>
    <row r="753" spans="2:2">
      <c r="B753" s="309"/>
    </row>
    <row r="754" spans="2:2">
      <c r="B754" s="309"/>
    </row>
    <row r="755" spans="2:2">
      <c r="B755" s="309"/>
    </row>
    <row r="756" spans="2:2">
      <c r="B756" s="309"/>
    </row>
    <row r="757" spans="2:2">
      <c r="B757" s="309"/>
    </row>
    <row r="758" spans="2:2">
      <c r="B758" s="309"/>
    </row>
    <row r="759" spans="2:2">
      <c r="B759" s="309"/>
    </row>
    <row r="760" spans="2:2">
      <c r="B760" s="309"/>
    </row>
    <row r="761" spans="2:2">
      <c r="B761" s="309"/>
    </row>
    <row r="762" spans="2:2">
      <c r="B762" s="309"/>
    </row>
    <row r="763" spans="2:2">
      <c r="B763" s="309"/>
    </row>
    <row r="764" spans="2:2">
      <c r="B764" s="309"/>
    </row>
    <row r="765" spans="2:2">
      <c r="B765" s="309"/>
    </row>
    <row r="766" spans="2:2">
      <c r="B766" s="309"/>
    </row>
    <row r="767" spans="2:2">
      <c r="B767" s="309"/>
    </row>
    <row r="768" spans="2:2">
      <c r="B768" s="309"/>
    </row>
    <row r="769" spans="2:2">
      <c r="B769" s="309"/>
    </row>
    <row r="770" spans="2:2">
      <c r="B770" s="309"/>
    </row>
    <row r="771" spans="2:2">
      <c r="B771" s="309"/>
    </row>
    <row r="772" spans="2:2">
      <c r="B772" s="309"/>
    </row>
    <row r="773" spans="2:2">
      <c r="B773" s="309"/>
    </row>
    <row r="774" spans="2:2">
      <c r="B774" s="309"/>
    </row>
    <row r="775" spans="2:2">
      <c r="B775" s="309"/>
    </row>
    <row r="776" spans="2:2">
      <c r="B776" s="309"/>
    </row>
    <row r="777" spans="2:2">
      <c r="B777" s="309"/>
    </row>
    <row r="778" spans="2:2">
      <c r="B778" s="309"/>
    </row>
    <row r="779" spans="2:2">
      <c r="B779" s="309"/>
    </row>
    <row r="780" spans="2:2">
      <c r="B780" s="309"/>
    </row>
    <row r="781" spans="2:2">
      <c r="B781" s="309"/>
    </row>
    <row r="782" spans="2:2">
      <c r="B782" s="309"/>
    </row>
    <row r="783" spans="2:2">
      <c r="B783" s="309"/>
    </row>
    <row r="784" spans="2:2">
      <c r="B784" s="309"/>
    </row>
    <row r="785" spans="2:2">
      <c r="B785" s="309"/>
    </row>
    <row r="786" spans="2:2">
      <c r="B786" s="309"/>
    </row>
    <row r="787" spans="2:2">
      <c r="B787" s="309"/>
    </row>
    <row r="788" spans="2:2">
      <c r="B788" s="309"/>
    </row>
    <row r="789" spans="2:2">
      <c r="B789" s="309"/>
    </row>
    <row r="790" spans="2:2">
      <c r="B790" s="309"/>
    </row>
    <row r="791" spans="2:2">
      <c r="B791" s="309"/>
    </row>
    <row r="792" spans="2:2">
      <c r="B792" s="309"/>
    </row>
    <row r="793" spans="2:2">
      <c r="B793" s="309"/>
    </row>
    <row r="794" spans="2:2">
      <c r="B794" s="309"/>
    </row>
    <row r="795" spans="2:2">
      <c r="B795" s="309"/>
    </row>
    <row r="796" spans="2:2">
      <c r="B796" s="309"/>
    </row>
    <row r="797" spans="2:2">
      <c r="B797" s="309"/>
    </row>
    <row r="798" spans="2:2">
      <c r="B798" s="309"/>
    </row>
    <row r="799" spans="2:2">
      <c r="B799" s="309"/>
    </row>
    <row r="800" spans="2:2">
      <c r="B800" s="309"/>
    </row>
    <row r="801" spans="2:2">
      <c r="B801" s="309"/>
    </row>
    <row r="802" spans="2:2">
      <c r="B802" s="309"/>
    </row>
    <row r="803" spans="2:2">
      <c r="B803" s="309"/>
    </row>
    <row r="804" spans="2:2">
      <c r="B804" s="309"/>
    </row>
    <row r="805" spans="2:2">
      <c r="B805" s="309"/>
    </row>
    <row r="806" spans="2:2">
      <c r="B806" s="309"/>
    </row>
    <row r="807" spans="2:2">
      <c r="B807" s="309"/>
    </row>
    <row r="808" spans="2:2">
      <c r="B808" s="309"/>
    </row>
    <row r="809" spans="2:2">
      <c r="B809" s="309"/>
    </row>
    <row r="810" spans="2:2">
      <c r="B810" s="309"/>
    </row>
    <row r="811" spans="2:2">
      <c r="B811" s="309"/>
    </row>
    <row r="812" spans="2:2">
      <c r="B812" s="309"/>
    </row>
    <row r="813" spans="2:2">
      <c r="B813" s="309"/>
    </row>
    <row r="814" spans="2:2">
      <c r="B814" s="309"/>
    </row>
    <row r="815" spans="2:2">
      <c r="B815" s="309"/>
    </row>
    <row r="816" spans="2:2">
      <c r="B816" s="309"/>
    </row>
    <row r="817" spans="2:2">
      <c r="B817" s="309"/>
    </row>
    <row r="818" spans="2:2">
      <c r="B818" s="309"/>
    </row>
    <row r="819" spans="2:2">
      <c r="B819" s="309"/>
    </row>
    <row r="820" spans="2:2">
      <c r="B820" s="309"/>
    </row>
    <row r="821" spans="2:2">
      <c r="B821" s="309"/>
    </row>
    <row r="822" spans="2:2">
      <c r="B822" s="309"/>
    </row>
    <row r="823" spans="2:2">
      <c r="B823" s="309"/>
    </row>
    <row r="824" spans="2:2">
      <c r="B824" s="309"/>
    </row>
    <row r="825" spans="2:2">
      <c r="B825" s="309"/>
    </row>
    <row r="826" spans="2:2">
      <c r="B826" s="309"/>
    </row>
    <row r="827" spans="2:2">
      <c r="B827" s="309"/>
    </row>
    <row r="828" spans="2:2">
      <c r="B828" s="309"/>
    </row>
    <row r="829" spans="2:2">
      <c r="B829" s="309"/>
    </row>
    <row r="830" spans="2:2">
      <c r="B830" s="309"/>
    </row>
    <row r="831" spans="2:2">
      <c r="B831" s="309"/>
    </row>
    <row r="832" spans="2:2">
      <c r="B832" s="309"/>
    </row>
    <row r="833" spans="2:2">
      <c r="B833" s="309"/>
    </row>
    <row r="834" spans="2:2">
      <c r="B834" s="309"/>
    </row>
    <row r="835" spans="2:2">
      <c r="B835" s="309"/>
    </row>
    <row r="836" spans="2:2">
      <c r="B836" s="309"/>
    </row>
    <row r="837" spans="2:2">
      <c r="B837" s="309"/>
    </row>
    <row r="838" spans="2:2">
      <c r="B838" s="309"/>
    </row>
    <row r="839" spans="2:2">
      <c r="B839" s="309"/>
    </row>
    <row r="840" spans="2:2">
      <c r="B840" s="309"/>
    </row>
    <row r="841" spans="2:2">
      <c r="B841" s="309"/>
    </row>
    <row r="842" spans="2:2">
      <c r="B842" s="309"/>
    </row>
    <row r="843" spans="2:2">
      <c r="B843" s="309"/>
    </row>
    <row r="844" spans="2:2">
      <c r="B844" s="309"/>
    </row>
    <row r="845" spans="2:2">
      <c r="B845" s="309"/>
    </row>
    <row r="846" spans="2:2">
      <c r="B846" s="309"/>
    </row>
    <row r="847" spans="2:2">
      <c r="B847" s="309"/>
    </row>
    <row r="848" spans="2:2">
      <c r="B848" s="309"/>
    </row>
    <row r="849" spans="2:2">
      <c r="B849" s="309"/>
    </row>
    <row r="850" spans="2:2">
      <c r="B850" s="309"/>
    </row>
    <row r="851" spans="2:2">
      <c r="B851" s="309"/>
    </row>
    <row r="852" spans="2:2">
      <c r="B852" s="309"/>
    </row>
    <row r="853" spans="2:2">
      <c r="B853" s="309"/>
    </row>
    <row r="854" spans="2:2">
      <c r="B854" s="309"/>
    </row>
    <row r="855" spans="2:2">
      <c r="B855" s="309"/>
    </row>
    <row r="856" spans="2:2">
      <c r="B856" s="309"/>
    </row>
    <row r="857" spans="2:2">
      <c r="B857" s="309"/>
    </row>
    <row r="858" spans="2:2">
      <c r="B858" s="309"/>
    </row>
    <row r="859" spans="2:2">
      <c r="B859" s="309"/>
    </row>
    <row r="860" spans="2:2">
      <c r="B860" s="309"/>
    </row>
    <row r="861" spans="2:2">
      <c r="B861" s="309"/>
    </row>
    <row r="862" spans="2:2">
      <c r="B862" s="309"/>
    </row>
    <row r="863" spans="2:2">
      <c r="B863" s="309"/>
    </row>
    <row r="864" spans="2:2">
      <c r="B864" s="309"/>
    </row>
    <row r="865" spans="2:2">
      <c r="B865" s="309"/>
    </row>
    <row r="866" spans="2:2">
      <c r="B866" s="309"/>
    </row>
    <row r="867" spans="2:2">
      <c r="B867" s="309"/>
    </row>
    <row r="868" spans="2:2">
      <c r="B868" s="309"/>
    </row>
    <row r="869" spans="2:2">
      <c r="B869" s="309"/>
    </row>
    <row r="870" spans="2:2">
      <c r="B870" s="309"/>
    </row>
    <row r="871" spans="2:2">
      <c r="B871" s="309"/>
    </row>
    <row r="872" spans="2:2">
      <c r="B872" s="309"/>
    </row>
    <row r="873" spans="2:2">
      <c r="B873" s="309"/>
    </row>
    <row r="874" spans="2:2">
      <c r="B874" s="309"/>
    </row>
    <row r="875" spans="2:2">
      <c r="B875" s="309"/>
    </row>
    <row r="876" spans="2:2">
      <c r="B876" s="309"/>
    </row>
    <row r="877" spans="2:2">
      <c r="B877" s="309"/>
    </row>
    <row r="878" spans="2:2">
      <c r="B878" s="309"/>
    </row>
    <row r="879" spans="2:2">
      <c r="B879" s="309"/>
    </row>
    <row r="880" spans="2:2">
      <c r="B880" s="309"/>
    </row>
    <row r="881" spans="2:2">
      <c r="B881" s="309"/>
    </row>
    <row r="882" spans="2:2">
      <c r="B882" s="309"/>
    </row>
    <row r="883" spans="2:2">
      <c r="B883" s="309"/>
    </row>
    <row r="884" spans="2:2">
      <c r="B884" s="309"/>
    </row>
    <row r="885" spans="2:2">
      <c r="B885" s="309"/>
    </row>
    <row r="886" spans="2:2">
      <c r="B886" s="309"/>
    </row>
    <row r="887" spans="2:2">
      <c r="B887" s="309"/>
    </row>
    <row r="888" spans="2:2">
      <c r="B888" s="309"/>
    </row>
    <row r="889" spans="2:2">
      <c r="B889" s="309"/>
    </row>
    <row r="890" spans="2:2">
      <c r="B890" s="309"/>
    </row>
    <row r="891" spans="2:2">
      <c r="B891" s="309"/>
    </row>
    <row r="892" spans="2:2">
      <c r="B892" s="309"/>
    </row>
    <row r="893" spans="2:2">
      <c r="B893" s="309"/>
    </row>
    <row r="894" spans="2:2">
      <c r="B894" s="309"/>
    </row>
    <row r="895" spans="2:2">
      <c r="B895" s="309"/>
    </row>
    <row r="896" spans="2:2">
      <c r="B896" s="309"/>
    </row>
    <row r="897" spans="2:2">
      <c r="B897" s="309"/>
    </row>
    <row r="898" spans="2:2">
      <c r="B898" s="309"/>
    </row>
    <row r="899" spans="2:2">
      <c r="B899" s="309"/>
    </row>
    <row r="900" spans="2:2">
      <c r="B900" s="309"/>
    </row>
    <row r="901" spans="2:2">
      <c r="B901" s="309"/>
    </row>
    <row r="902" spans="2:2">
      <c r="B902" s="309"/>
    </row>
    <row r="903" spans="2:2">
      <c r="B903" s="309"/>
    </row>
    <row r="904" spans="2:2">
      <c r="B904" s="309"/>
    </row>
    <row r="905" spans="2:2">
      <c r="B905" s="309"/>
    </row>
    <row r="906" spans="2:2">
      <c r="B906" s="309"/>
    </row>
    <row r="907" spans="2:2">
      <c r="B907" s="309"/>
    </row>
    <row r="908" spans="2:2">
      <c r="B908" s="309"/>
    </row>
    <row r="909" spans="2:2">
      <c r="B909" s="309"/>
    </row>
    <row r="910" spans="2:2">
      <c r="B910" s="309"/>
    </row>
  </sheetData>
  <mergeCells count="1">
    <mergeCell ref="K11:M11"/>
  </mergeCells>
  <conditionalFormatting sqref="K20:L20">
    <cfRule type="expression" dxfId="68" priority="1">
      <formula>$I$12&lt;=$L$15</formula>
    </cfRule>
  </conditionalFormatting>
  <printOptions horizontalCentered="1" verticalCentered="1"/>
  <pageMargins left="0.5" right="0.5" top="1.75" bottom="0.5" header="0" footer="0"/>
  <pageSetup scale="71" fitToHeight="0" orientation="landscape" cellComments="atEnd" r:id="rId1"/>
  <headerFooter>
    <oddHeader>&amp;C&amp;A</oddHeader>
    <oddFooter>&amp;CNOTICE:This is a draft and not intended for client distribution.</oddFooter>
  </headerFooter>
  <customProperties>
    <customPr name="GUID" r:id="rId2"/>
  </customProperties>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AC108"/>
  <sheetViews>
    <sheetView showGridLines="0" zoomScaleSheetLayoutView="27" workbookViewId="0">
      <selection activeCell="R5" activeCellId="11" sqref="B8 B19 B30 B41 B52 C8:H12 C19:H23 C30:H34 C41:H45 C52:H56 R12 R5"/>
    </sheetView>
  </sheetViews>
  <sheetFormatPr defaultColWidth="14" defaultRowHeight="15"/>
  <cols>
    <col min="1" max="1" width="5.42578125" style="254" customWidth="1"/>
    <col min="2" max="2" width="20.5703125" style="180" customWidth="1"/>
    <col min="3" max="3" width="29.85546875" style="180" customWidth="1"/>
    <col min="4" max="4" width="8.85546875" style="180" customWidth="1"/>
    <col min="5" max="5" width="8.42578125" style="180" bestFit="1" customWidth="1"/>
    <col min="6" max="7" width="12.42578125" style="180" customWidth="1"/>
    <col min="8" max="8" width="11.42578125" style="180" bestFit="1" customWidth="1"/>
    <col min="9" max="9" width="11.42578125" style="180" hidden="1" customWidth="1"/>
    <col min="10" max="10" width="9.42578125" style="180" customWidth="1"/>
    <col min="11" max="11" width="20.42578125" style="180" customWidth="1"/>
    <col min="12" max="12" width="11.42578125" style="180" customWidth="1"/>
    <col min="13" max="13" width="9" style="180" customWidth="1"/>
    <col min="14" max="14" width="10.5703125" style="180" customWidth="1"/>
    <col min="15" max="15" width="9.42578125" style="180" customWidth="1"/>
    <col min="16" max="16" width="0.140625" style="180" customWidth="1"/>
    <col min="17" max="17" width="8" style="180" customWidth="1"/>
    <col min="18" max="18" width="26.85546875" style="180" customWidth="1"/>
    <col min="19" max="19" width="9.42578125" style="180" bestFit="1" customWidth="1"/>
    <col min="20" max="20" width="9.5703125" style="180" bestFit="1" customWidth="1"/>
    <col min="21" max="21" width="10.85546875" style="180" bestFit="1" customWidth="1"/>
    <col min="22" max="22" width="9.140625" style="180" bestFit="1" customWidth="1"/>
    <col min="23" max="23" width="10" style="180" bestFit="1" customWidth="1"/>
    <col min="24" max="24" width="15.42578125" style="180" bestFit="1" customWidth="1"/>
    <col min="25" max="25" width="13.42578125" style="180" bestFit="1" customWidth="1"/>
    <col min="26" max="26" width="15.140625" style="180" bestFit="1" customWidth="1"/>
    <col min="27" max="27" width="12.140625" style="180" bestFit="1" customWidth="1"/>
    <col min="28" max="28" width="11.42578125" style="180" bestFit="1" customWidth="1"/>
    <col min="29" max="29" width="0" style="180" hidden="1" customWidth="1"/>
    <col min="30" max="16384" width="14" style="180"/>
  </cols>
  <sheetData>
    <row r="1" spans="1:29" s="216" customFormat="1" ht="15.75">
      <c r="A1" s="212" t="str">
        <f>Input!A1</f>
        <v>Marcus &amp; Millichap - National Multi Housing Group - Financial Model Version 1.1.0</v>
      </c>
      <c r="C1" s="213"/>
      <c r="D1" s="213"/>
      <c r="E1" s="213"/>
      <c r="F1" s="213"/>
      <c r="G1" s="213"/>
      <c r="H1" s="213"/>
      <c r="I1" s="213"/>
      <c r="J1" s="214"/>
      <c r="K1" s="212" t="s">
        <v>1648</v>
      </c>
      <c r="L1" s="215"/>
      <c r="Q1" s="224" t="str">
        <f>Input!I1</f>
        <v/>
      </c>
    </row>
    <row r="2" spans="1:29" s="219" customFormat="1" ht="3.75" customHeight="1">
      <c r="A2" s="448"/>
      <c r="B2" s="217"/>
      <c r="C2" s="217"/>
      <c r="D2" s="217"/>
      <c r="E2" s="217"/>
      <c r="F2" s="217"/>
      <c r="G2" s="217"/>
      <c r="H2" s="217"/>
      <c r="I2" s="217"/>
      <c r="J2" s="217"/>
      <c r="K2" s="217"/>
      <c r="L2" s="218"/>
    </row>
    <row r="3" spans="1:29" s="222" customFormat="1" ht="12.75">
      <c r="A3" s="449"/>
      <c r="B3" s="220"/>
      <c r="C3" s="220"/>
      <c r="D3" s="220"/>
      <c r="E3" s="220"/>
      <c r="F3" s="220"/>
      <c r="G3" s="220"/>
      <c r="H3" s="220"/>
      <c r="I3" s="220"/>
      <c r="J3" s="220"/>
      <c r="K3" s="220"/>
      <c r="L3" s="221"/>
    </row>
    <row r="4" spans="1:29">
      <c r="A4" s="397"/>
      <c r="B4" s="1061"/>
      <c r="C4" s="1061"/>
      <c r="D4" s="1061"/>
      <c r="E4" s="1117"/>
      <c r="F4" s="1117"/>
      <c r="G4" s="1117"/>
      <c r="H4" s="1062"/>
      <c r="I4" s="1117"/>
      <c r="J4" s="1117"/>
      <c r="K4" s="1117"/>
      <c r="L4" s="1118"/>
      <c r="M4" s="1063"/>
      <c r="O4" s="182"/>
      <c r="P4" s="182"/>
      <c r="Q4" s="182"/>
      <c r="R4" s="378" t="s">
        <v>1592</v>
      </c>
      <c r="S4" s="182"/>
      <c r="T4"/>
      <c r="U4"/>
      <c r="V4"/>
      <c r="W4"/>
      <c r="X4"/>
      <c r="Y4"/>
      <c r="Z4"/>
      <c r="AA4"/>
      <c r="AB4"/>
    </row>
    <row r="5" spans="1:29" s="410" customFormat="1" ht="12.75">
      <c r="A5" s="397"/>
      <c r="B5" s="440"/>
      <c r="C5" s="411"/>
      <c r="D5" s="412"/>
      <c r="E5" s="412"/>
      <c r="F5" s="413" t="s">
        <v>1649</v>
      </c>
      <c r="G5" s="413" t="s">
        <v>145</v>
      </c>
      <c r="H5" s="535" t="s">
        <v>40</v>
      </c>
      <c r="I5" s="539" t="s">
        <v>1650</v>
      </c>
      <c r="J5" s="413" t="s">
        <v>1651</v>
      </c>
      <c r="K5" s="413" t="s">
        <v>1652</v>
      </c>
      <c r="L5" s="413" t="s">
        <v>1653</v>
      </c>
      <c r="M5" s="414" t="s">
        <v>1653</v>
      </c>
      <c r="N5" s="415" t="s">
        <v>145</v>
      </c>
      <c r="O5" s="415" t="s">
        <v>40</v>
      </c>
      <c r="P5" s="415" t="s">
        <v>235</v>
      </c>
      <c r="Q5" s="416"/>
      <c r="R5" s="1119" t="s">
        <v>235</v>
      </c>
      <c r="S5" s="416"/>
      <c r="T5"/>
      <c r="U5"/>
      <c r="V5"/>
      <c r="W5"/>
      <c r="X5"/>
      <c r="Y5"/>
      <c r="Z5"/>
      <c r="AA5"/>
      <c r="AB5"/>
    </row>
    <row r="6" spans="1:29" s="410" customFormat="1" ht="12.75">
      <c r="A6" s="397"/>
      <c r="B6" s="441"/>
      <c r="C6" s="411"/>
      <c r="D6" s="412" t="s">
        <v>987</v>
      </c>
      <c r="E6" s="412" t="s">
        <v>988</v>
      </c>
      <c r="F6" s="413" t="s">
        <v>1654</v>
      </c>
      <c r="G6" s="413" t="s">
        <v>1654</v>
      </c>
      <c r="H6" s="413" t="s">
        <v>1654</v>
      </c>
      <c r="I6" s="414" t="s">
        <v>1655</v>
      </c>
      <c r="J6" s="413" t="s">
        <v>988</v>
      </c>
      <c r="K6" s="413" t="s">
        <v>145</v>
      </c>
      <c r="L6" s="413" t="s">
        <v>1656</v>
      </c>
      <c r="M6" s="414" t="s">
        <v>39</v>
      </c>
      <c r="N6" s="417" t="s">
        <v>39</v>
      </c>
      <c r="O6" s="417" t="s">
        <v>39</v>
      </c>
      <c r="P6" s="417" t="s">
        <v>39</v>
      </c>
      <c r="Q6" s="416"/>
      <c r="R6" s="418" t="str">
        <f>IF(R5="Total Gross Square Feet","Use this option only if individual unit square footage is not available","")</f>
        <v/>
      </c>
      <c r="S6" s="416"/>
      <c r="T6"/>
      <c r="U6"/>
      <c r="V6"/>
      <c r="W6"/>
      <c r="X6"/>
      <c r="Y6"/>
      <c r="Z6"/>
      <c r="AA6"/>
      <c r="AB6"/>
    </row>
    <row r="7" spans="1:29" s="410" customFormat="1" ht="12.75">
      <c r="A7" s="397"/>
      <c r="B7" s="446" t="s">
        <v>42</v>
      </c>
      <c r="C7" s="419" t="s">
        <v>1657</v>
      </c>
      <c r="D7" s="420" t="s">
        <v>1658</v>
      </c>
      <c r="E7" s="420" t="s">
        <v>1659</v>
      </c>
      <c r="F7" s="421" t="s">
        <v>1660</v>
      </c>
      <c r="G7" s="421" t="s">
        <v>1660</v>
      </c>
      <c r="H7" s="421" t="s">
        <v>1660</v>
      </c>
      <c r="I7" s="422" t="s">
        <v>1661</v>
      </c>
      <c r="J7" s="421" t="s">
        <v>992</v>
      </c>
      <c r="K7" s="421" t="s">
        <v>47</v>
      </c>
      <c r="L7" s="421" t="s">
        <v>1662</v>
      </c>
      <c r="M7" s="422" t="s">
        <v>47</v>
      </c>
      <c r="N7" s="423" t="s">
        <v>47</v>
      </c>
      <c r="O7" s="423" t="s">
        <v>47</v>
      </c>
      <c r="P7" s="423" t="s">
        <v>47</v>
      </c>
      <c r="Q7" s="416"/>
      <c r="S7" s="416"/>
      <c r="T7"/>
      <c r="U7"/>
      <c r="V7"/>
      <c r="W7"/>
      <c r="X7"/>
      <c r="Y7"/>
      <c r="Z7"/>
      <c r="AA7"/>
      <c r="AB7"/>
    </row>
    <row r="8" spans="1:29" s="410" customFormat="1" ht="12.75">
      <c r="A8" s="444" t="str">
        <f>IF(C8="","",IFERROR(VALUE(LEFT(B8,1))&amp;" Bedroom",IFERROR(VLOOKUP(LEFT(B8,3),DDL_UnitLookup,2,FALSE),"Unknown")))</f>
        <v/>
      </c>
      <c r="B8" s="1038"/>
      <c r="C8" s="1039"/>
      <c r="D8" s="1040"/>
      <c r="E8" s="1040"/>
      <c r="F8" s="1041"/>
      <c r="G8" s="1041"/>
      <c r="H8" s="1041"/>
      <c r="I8" s="540"/>
      <c r="J8" s="537">
        <f>D8*E8</f>
        <v>0</v>
      </c>
      <c r="K8" s="424">
        <f>N8*12</f>
        <v>0</v>
      </c>
      <c r="L8" s="425">
        <f>IF(D8=0, 0, F8/E8)</f>
        <v>0</v>
      </c>
      <c r="M8" s="426">
        <f>F8*D8</f>
        <v>0</v>
      </c>
      <c r="N8" s="426">
        <f>G8*D8</f>
        <v>0</v>
      </c>
      <c r="O8" s="427">
        <f>H8*D8</f>
        <v>0</v>
      </c>
      <c r="P8" s="427">
        <f>I8*D8</f>
        <v>0</v>
      </c>
      <c r="Q8" s="428"/>
      <c r="R8" s="429" t="str">
        <f>IF(R5="Total Gross Square Feet","Total Gross Square Feet:","")</f>
        <v/>
      </c>
      <c r="T8"/>
      <c r="U8"/>
      <c r="V8"/>
      <c r="W8"/>
      <c r="X8"/>
      <c r="Y8"/>
      <c r="Z8"/>
      <c r="AA8"/>
      <c r="AB8"/>
    </row>
    <row r="9" spans="1:29" s="410" customFormat="1" ht="12.75">
      <c r="A9" s="444" t="str">
        <f>IF(C9="","",A8)</f>
        <v/>
      </c>
      <c r="B9" s="990">
        <f>B8</f>
        <v>0</v>
      </c>
      <c r="C9" s="1042"/>
      <c r="D9" s="1043"/>
      <c r="E9" s="1043"/>
      <c r="F9" s="1044"/>
      <c r="G9" s="1044"/>
      <c r="H9" s="1044"/>
      <c r="I9" s="541"/>
      <c r="J9" s="538">
        <f>D9*E9</f>
        <v>0</v>
      </c>
      <c r="K9" s="430">
        <f>N9*12</f>
        <v>0</v>
      </c>
      <c r="L9" s="425">
        <f>IF(D9=0, 0, F9/E9)</f>
        <v>0</v>
      </c>
      <c r="M9" s="426">
        <f>F9*D9</f>
        <v>0</v>
      </c>
      <c r="N9" s="426">
        <f>G9*D9</f>
        <v>0</v>
      </c>
      <c r="O9" s="427">
        <f>H9*D9</f>
        <v>0</v>
      </c>
      <c r="P9" s="427">
        <v>60000</v>
      </c>
      <c r="Q9" s="428"/>
      <c r="R9" s="1120">
        <v>60000</v>
      </c>
      <c r="S9" s="428"/>
      <c r="T9"/>
      <c r="U9"/>
      <c r="V9"/>
      <c r="W9"/>
      <c r="X9"/>
      <c r="Y9"/>
      <c r="Z9"/>
      <c r="AA9"/>
      <c r="AB9"/>
    </row>
    <row r="10" spans="1:29" s="410" customFormat="1" ht="12.75">
      <c r="A10" s="444" t="str">
        <f>A9</f>
        <v/>
      </c>
      <c r="B10" s="990">
        <f t="shared" ref="B10:B12" si="0">B9</f>
        <v>0</v>
      </c>
      <c r="C10" s="1042"/>
      <c r="D10" s="1043"/>
      <c r="E10" s="1045"/>
      <c r="F10" s="1044"/>
      <c r="G10" s="1046"/>
      <c r="H10" s="1044"/>
      <c r="I10" s="541"/>
      <c r="J10" s="538">
        <f>D10*E10</f>
        <v>0</v>
      </c>
      <c r="K10" s="430">
        <f>N10*12</f>
        <v>0</v>
      </c>
      <c r="L10" s="425">
        <f>IF(D10=0, 0, F10/E10)</f>
        <v>0</v>
      </c>
      <c r="M10" s="426">
        <f>F10*D10</f>
        <v>0</v>
      </c>
      <c r="N10" s="426">
        <f>G10*D10</f>
        <v>0</v>
      </c>
      <c r="O10" s="427">
        <f>H10*D10</f>
        <v>0</v>
      </c>
      <c r="P10" s="427">
        <f>I10*D10</f>
        <v>0</v>
      </c>
      <c r="Q10" s="428"/>
      <c r="R10" s="428"/>
      <c r="S10" s="428"/>
      <c r="T10"/>
      <c r="U10"/>
      <c r="V10"/>
      <c r="W10"/>
      <c r="X10"/>
      <c r="Y10"/>
      <c r="Z10"/>
      <c r="AA10"/>
      <c r="AB10"/>
    </row>
    <row r="11" spans="1:29" s="410" customFormat="1" ht="12.75">
      <c r="A11" s="444" t="str">
        <f>A10</f>
        <v/>
      </c>
      <c r="B11" s="990">
        <f t="shared" si="0"/>
        <v>0</v>
      </c>
      <c r="C11" s="1042"/>
      <c r="D11" s="1043"/>
      <c r="E11" s="1043"/>
      <c r="F11" s="1044"/>
      <c r="G11" s="1046"/>
      <c r="H11" s="1044"/>
      <c r="I11" s="541"/>
      <c r="J11" s="538">
        <f>D11*E11</f>
        <v>0</v>
      </c>
      <c r="K11" s="430">
        <f>N11*12</f>
        <v>0</v>
      </c>
      <c r="L11" s="425">
        <f>IF(D11=0, 0, F11/E11)</f>
        <v>0</v>
      </c>
      <c r="M11" s="426">
        <f>F11*D11</f>
        <v>0</v>
      </c>
      <c r="N11" s="426">
        <f>G11*D11</f>
        <v>0</v>
      </c>
      <c r="O11" s="427">
        <f>H11*D11</f>
        <v>0</v>
      </c>
      <c r="P11" s="427">
        <f>I11*D11</f>
        <v>0</v>
      </c>
      <c r="Q11" s="428"/>
      <c r="R11" s="547" t="s">
        <v>1596</v>
      </c>
      <c r="S11" s="428"/>
      <c r="T11"/>
      <c r="U11"/>
      <c r="V11"/>
      <c r="W11"/>
      <c r="X11"/>
      <c r="Y11"/>
      <c r="Z11"/>
      <c r="AA11"/>
      <c r="AB11"/>
    </row>
    <row r="12" spans="1:29" s="410" customFormat="1" ht="12.75">
      <c r="A12" s="444" t="str">
        <f>A11</f>
        <v/>
      </c>
      <c r="B12" s="990">
        <f t="shared" si="0"/>
        <v>0</v>
      </c>
      <c r="C12" s="1042"/>
      <c r="D12" s="1043"/>
      <c r="E12" s="1043"/>
      <c r="F12" s="1044"/>
      <c r="G12" s="1046"/>
      <c r="H12" s="1044"/>
      <c r="I12" s="541"/>
      <c r="J12" s="538">
        <f>D12*E12</f>
        <v>0</v>
      </c>
      <c r="K12" s="430">
        <f>N12*12</f>
        <v>0</v>
      </c>
      <c r="L12" s="425">
        <f>IF(D12=0, 0, F12/E12)</f>
        <v>0</v>
      </c>
      <c r="M12" s="426">
        <f>F12*D12</f>
        <v>0</v>
      </c>
      <c r="N12" s="426">
        <f>G12*D12</f>
        <v>0</v>
      </c>
      <c r="O12" s="427">
        <f>H12*D12</f>
        <v>0</v>
      </c>
      <c r="P12" s="427">
        <f>I12*D12</f>
        <v>0</v>
      </c>
      <c r="Q12" s="428"/>
      <c r="R12" s="1047" t="s">
        <v>127</v>
      </c>
      <c r="S12" s="428"/>
      <c r="T12"/>
      <c r="U12"/>
      <c r="V12"/>
      <c r="W12"/>
      <c r="X12"/>
      <c r="Y12"/>
      <c r="Z12"/>
      <c r="AA12"/>
      <c r="AB12"/>
    </row>
    <row r="13" spans="1:29" s="410" customFormat="1" ht="12.75">
      <c r="A13" s="444"/>
      <c r="B13" s="989"/>
      <c r="C13" s="431" t="s">
        <v>1663</v>
      </c>
      <c r="D13" s="432">
        <f>SUM(D8:D12)</f>
        <v>0</v>
      </c>
      <c r="E13" s="433">
        <f>IF(D13=0, 0, J13/D13)</f>
        <v>0</v>
      </c>
      <c r="F13" s="434">
        <f>IF(D13=0,0,M13/D13)</f>
        <v>0</v>
      </c>
      <c r="G13" s="434">
        <f>IF(D13=0,0,N13/D13)</f>
        <v>0</v>
      </c>
      <c r="H13" s="536">
        <f>IF($D13=0,0,O13/$D13)</f>
        <v>0</v>
      </c>
      <c r="I13" s="546">
        <f>IF($D13=0,0,P13/$D13)</f>
        <v>0</v>
      </c>
      <c r="J13" s="545">
        <f>SUM(J8:J12)</f>
        <v>0</v>
      </c>
      <c r="K13" s="435">
        <f>SUM(K8:K12)</f>
        <v>0</v>
      </c>
      <c r="L13" s="436">
        <f>IF(D13=0,0,F13/E13)</f>
        <v>0</v>
      </c>
      <c r="M13" s="437">
        <f>SUM(M8:M12)</f>
        <v>0</v>
      </c>
      <c r="N13" s="437">
        <f>SUM(N8:N12)</f>
        <v>0</v>
      </c>
      <c r="O13" s="438">
        <f>SUM(O8:O12)</f>
        <v>0</v>
      </c>
      <c r="P13" s="438">
        <f>SUM(P8:P12)</f>
        <v>60000</v>
      </c>
      <c r="Q13" s="428"/>
      <c r="R13" s="428"/>
      <c r="S13" s="428"/>
      <c r="T13"/>
      <c r="U13"/>
      <c r="V13"/>
      <c r="W13"/>
      <c r="X13"/>
      <c r="Y13"/>
      <c r="Z13"/>
      <c r="AA13"/>
      <c r="AB13"/>
      <c r="AC13" s="439"/>
    </row>
    <row r="14" spans="1:29">
      <c r="A14" s="444"/>
      <c r="C14" s="182"/>
      <c r="D14" s="368"/>
      <c r="E14" s="368"/>
      <c r="F14" s="182"/>
      <c r="G14" s="182"/>
      <c r="H14" s="182"/>
      <c r="I14" s="182"/>
      <c r="J14" s="182"/>
      <c r="K14" s="1121"/>
      <c r="T14"/>
      <c r="U14"/>
      <c r="V14"/>
      <c r="W14"/>
      <c r="X14"/>
      <c r="Y14"/>
      <c r="Z14"/>
      <c r="AA14"/>
      <c r="AB14"/>
    </row>
    <row r="15" spans="1:29">
      <c r="A15" s="444"/>
      <c r="B15" s="1061"/>
      <c r="C15" s="1061"/>
      <c r="D15" s="1064"/>
      <c r="E15" s="1122"/>
      <c r="F15" s="1117"/>
      <c r="G15" s="1117"/>
      <c r="H15" s="1062"/>
      <c r="I15" s="1117"/>
      <c r="J15" s="1117"/>
      <c r="K15" s="1117"/>
      <c r="L15" s="1118"/>
      <c r="M15" s="1063"/>
      <c r="O15" s="182"/>
      <c r="P15" s="182"/>
      <c r="Q15" s="182"/>
      <c r="R15" s="182"/>
      <c r="S15" s="182"/>
      <c r="T15"/>
      <c r="U15"/>
      <c r="V15"/>
      <c r="W15"/>
      <c r="X15"/>
      <c r="Y15"/>
      <c r="Z15"/>
      <c r="AA15"/>
      <c r="AB15"/>
    </row>
    <row r="16" spans="1:29">
      <c r="A16" s="444"/>
      <c r="B16" s="440"/>
      <c r="C16" s="411"/>
      <c r="D16" s="412"/>
      <c r="E16" s="412"/>
      <c r="F16" s="413" t="s">
        <v>1649</v>
      </c>
      <c r="G16" s="413" t="s">
        <v>145</v>
      </c>
      <c r="H16" s="413" t="s">
        <v>40</v>
      </c>
      <c r="I16" s="539" t="s">
        <v>1650</v>
      </c>
      <c r="J16" s="183" t="s">
        <v>1651</v>
      </c>
      <c r="K16" s="183" t="s">
        <v>1652</v>
      </c>
      <c r="L16" s="183" t="s">
        <v>1653</v>
      </c>
      <c r="M16" s="184" t="s">
        <v>1653</v>
      </c>
      <c r="N16" s="185" t="s">
        <v>145</v>
      </c>
      <c r="O16" s="185" t="s">
        <v>40</v>
      </c>
      <c r="P16" s="415" t="s">
        <v>731</v>
      </c>
      <c r="Q16" s="186"/>
      <c r="R16" s="186"/>
      <c r="S16" s="186"/>
      <c r="T16"/>
      <c r="U16"/>
      <c r="V16"/>
      <c r="W16"/>
      <c r="X16"/>
      <c r="Y16"/>
      <c r="Z16"/>
      <c r="AA16"/>
      <c r="AB16"/>
    </row>
    <row r="17" spans="1:28">
      <c r="A17" s="444"/>
      <c r="B17" s="441"/>
      <c r="C17" s="411"/>
      <c r="D17" s="412" t="s">
        <v>987</v>
      </c>
      <c r="E17" s="412" t="s">
        <v>988</v>
      </c>
      <c r="F17" s="413" t="s">
        <v>1654</v>
      </c>
      <c r="G17" s="413" t="s">
        <v>1654</v>
      </c>
      <c r="H17" s="413" t="s">
        <v>1654</v>
      </c>
      <c r="I17" s="414" t="s">
        <v>1655</v>
      </c>
      <c r="J17" s="183" t="s">
        <v>988</v>
      </c>
      <c r="K17" s="183" t="s">
        <v>145</v>
      </c>
      <c r="L17" s="183" t="s">
        <v>1656</v>
      </c>
      <c r="M17" s="184" t="s">
        <v>39</v>
      </c>
      <c r="N17" s="187" t="s">
        <v>39</v>
      </c>
      <c r="O17" s="187" t="s">
        <v>39</v>
      </c>
      <c r="P17" s="417" t="s">
        <v>39</v>
      </c>
      <c r="Q17" s="186"/>
      <c r="R17" s="186"/>
      <c r="S17" s="186"/>
      <c r="T17"/>
      <c r="U17"/>
      <c r="V17"/>
      <c r="W17"/>
      <c r="X17"/>
      <c r="Y17"/>
      <c r="Z17"/>
      <c r="AA17"/>
      <c r="AB17"/>
    </row>
    <row r="18" spans="1:28">
      <c r="A18" s="444"/>
      <c r="B18" s="446" t="s">
        <v>42</v>
      </c>
      <c r="C18" s="419" t="s">
        <v>1664</v>
      </c>
      <c r="D18" s="420" t="s">
        <v>990</v>
      </c>
      <c r="E18" s="420" t="s">
        <v>992</v>
      </c>
      <c r="F18" s="421" t="s">
        <v>1661</v>
      </c>
      <c r="G18" s="421" t="s">
        <v>1661</v>
      </c>
      <c r="H18" s="421" t="s">
        <v>1661</v>
      </c>
      <c r="I18" s="422" t="s">
        <v>1661</v>
      </c>
      <c r="J18" s="188" t="s">
        <v>992</v>
      </c>
      <c r="K18" s="188" t="s">
        <v>47</v>
      </c>
      <c r="L18" s="188" t="s">
        <v>1662</v>
      </c>
      <c r="M18" s="189" t="s">
        <v>47</v>
      </c>
      <c r="N18" s="190" t="s">
        <v>47</v>
      </c>
      <c r="O18" s="190" t="s">
        <v>47</v>
      </c>
      <c r="P18" s="423" t="s">
        <v>47</v>
      </c>
      <c r="Q18" s="186"/>
      <c r="R18" s="186"/>
      <c r="S18" s="186"/>
      <c r="T18"/>
      <c r="U18"/>
      <c r="V18"/>
      <c r="W18"/>
      <c r="X18"/>
      <c r="Y18"/>
      <c r="Z18"/>
      <c r="AA18"/>
      <c r="AB18"/>
    </row>
    <row r="19" spans="1:28">
      <c r="A19" s="574" t="str">
        <f>IFERROR(VALUE(LEFT(B19,1))&amp;" Bedroom",IFERROR(VLOOKUP(LEFT(B19,3),DDL_UnitLookup,2,FALSE),"Unknown"))</f>
        <v>Unknown</v>
      </c>
      <c r="B19" s="1038"/>
      <c r="C19" s="1039"/>
      <c r="D19" s="1040"/>
      <c r="E19" s="1040"/>
      <c r="F19" s="1041"/>
      <c r="G19" s="1041"/>
      <c r="H19" s="1041"/>
      <c r="I19" s="540"/>
      <c r="J19" s="191">
        <f>D19*E19</f>
        <v>0</v>
      </c>
      <c r="K19" s="192">
        <f>N19*12</f>
        <v>0</v>
      </c>
      <c r="L19" s="193">
        <f>IF(D19=0, 0, F19/E19)</f>
        <v>0</v>
      </c>
      <c r="M19" s="194">
        <f>F19*D19</f>
        <v>0</v>
      </c>
      <c r="N19" s="194">
        <f>G19*D19</f>
        <v>0</v>
      </c>
      <c r="O19" s="195">
        <f>H19*D19</f>
        <v>0</v>
      </c>
      <c r="P19" s="427">
        <f>I19*D19</f>
        <v>0</v>
      </c>
      <c r="Q19" s="196"/>
      <c r="R19" s="196"/>
      <c r="S19" s="196"/>
      <c r="U19"/>
      <c r="V19"/>
      <c r="W19"/>
      <c r="X19"/>
      <c r="Y19"/>
      <c r="Z19"/>
      <c r="AA19"/>
      <c r="AB19"/>
    </row>
    <row r="20" spans="1:28">
      <c r="A20" s="444" t="str">
        <f>A19</f>
        <v>Unknown</v>
      </c>
      <c r="B20" s="990">
        <f>B19</f>
        <v>0</v>
      </c>
      <c r="C20" s="1042"/>
      <c r="D20" s="1043"/>
      <c r="E20" s="1043"/>
      <c r="F20" s="1044"/>
      <c r="G20" s="1044"/>
      <c r="H20" s="1044"/>
      <c r="I20" s="541"/>
      <c r="J20" s="197">
        <f>D20*E20</f>
        <v>0</v>
      </c>
      <c r="K20" s="198">
        <f>N20*12</f>
        <v>0</v>
      </c>
      <c r="L20" s="193">
        <f>IF(D20=0, 0, F20/E20)</f>
        <v>0</v>
      </c>
      <c r="M20" s="194">
        <f>F20*D20</f>
        <v>0</v>
      </c>
      <c r="N20" s="194">
        <f>G20*D20</f>
        <v>0</v>
      </c>
      <c r="O20" s="195">
        <f>H20*D20</f>
        <v>0</v>
      </c>
      <c r="P20" s="427">
        <f>I20*D20</f>
        <v>0</v>
      </c>
      <c r="Q20" s="196"/>
      <c r="R20" s="196"/>
      <c r="S20" s="196"/>
      <c r="T20"/>
      <c r="U20"/>
      <c r="V20"/>
      <c r="W20"/>
      <c r="X20"/>
      <c r="Y20"/>
      <c r="Z20"/>
      <c r="AA20"/>
      <c r="AB20"/>
    </row>
    <row r="21" spans="1:28">
      <c r="A21" s="444" t="str">
        <f>A20</f>
        <v>Unknown</v>
      </c>
      <c r="B21" s="990">
        <f t="shared" ref="B21:B23" si="1">B20</f>
        <v>0</v>
      </c>
      <c r="C21" s="1042"/>
      <c r="D21" s="1043"/>
      <c r="E21" s="1043"/>
      <c r="F21" s="1044"/>
      <c r="G21" s="1046"/>
      <c r="H21" s="1044"/>
      <c r="I21" s="541"/>
      <c r="J21" s="197">
        <f>D21*E21</f>
        <v>0</v>
      </c>
      <c r="K21" s="198">
        <f>N21*12</f>
        <v>0</v>
      </c>
      <c r="L21" s="193">
        <f>IF(D21=0, 0, F21/E21)</f>
        <v>0</v>
      </c>
      <c r="M21" s="194">
        <f>F21*D21</f>
        <v>0</v>
      </c>
      <c r="N21" s="194">
        <f>G21*D21</f>
        <v>0</v>
      </c>
      <c r="O21" s="195">
        <f>H21*D21</f>
        <v>0</v>
      </c>
      <c r="P21" s="427">
        <f>I21*D21</f>
        <v>0</v>
      </c>
      <c r="Q21" s="196"/>
      <c r="R21" s="196"/>
      <c r="S21" s="196"/>
      <c r="T21"/>
      <c r="U21"/>
      <c r="V21"/>
      <c r="W21"/>
      <c r="X21"/>
      <c r="Y21"/>
      <c r="Z21"/>
      <c r="AA21"/>
      <c r="AB21"/>
    </row>
    <row r="22" spans="1:28">
      <c r="A22" s="444" t="str">
        <f>A21</f>
        <v>Unknown</v>
      </c>
      <c r="B22" s="990">
        <f t="shared" si="1"/>
        <v>0</v>
      </c>
      <c r="C22" s="1042"/>
      <c r="D22" s="1043"/>
      <c r="E22" s="1043"/>
      <c r="F22" s="1044"/>
      <c r="G22" s="1046"/>
      <c r="H22" s="1044"/>
      <c r="I22" s="541"/>
      <c r="J22" s="197">
        <f>D22*E22</f>
        <v>0</v>
      </c>
      <c r="K22" s="198">
        <f>N22*12</f>
        <v>0</v>
      </c>
      <c r="L22" s="193">
        <f>IF(D22=0, 0, F22/E22)</f>
        <v>0</v>
      </c>
      <c r="M22" s="194">
        <f>F22*D22</f>
        <v>0</v>
      </c>
      <c r="N22" s="194">
        <f>G22*D22</f>
        <v>0</v>
      </c>
      <c r="O22" s="195">
        <f>H22*D22</f>
        <v>0</v>
      </c>
      <c r="P22" s="427">
        <f>I22*D22</f>
        <v>0</v>
      </c>
      <c r="Q22" s="196"/>
      <c r="R22" s="196"/>
      <c r="S22" s="196"/>
      <c r="T22"/>
      <c r="U22"/>
      <c r="V22"/>
      <c r="W22"/>
      <c r="X22"/>
      <c r="Y22"/>
      <c r="Z22"/>
      <c r="AA22"/>
      <c r="AB22"/>
    </row>
    <row r="23" spans="1:28">
      <c r="A23" s="444" t="str">
        <f>A22</f>
        <v>Unknown</v>
      </c>
      <c r="B23" s="990">
        <f t="shared" si="1"/>
        <v>0</v>
      </c>
      <c r="C23" s="1042"/>
      <c r="D23" s="1043"/>
      <c r="E23" s="1043"/>
      <c r="F23" s="1044"/>
      <c r="G23" s="1046"/>
      <c r="H23" s="1044"/>
      <c r="I23" s="541"/>
      <c r="J23" s="197">
        <f>D23*E23</f>
        <v>0</v>
      </c>
      <c r="K23" s="198">
        <f>N23*12</f>
        <v>0</v>
      </c>
      <c r="L23" s="193">
        <f>IF(D23=0, 0, F23/E23)</f>
        <v>0</v>
      </c>
      <c r="M23" s="194">
        <f>F23*D23</f>
        <v>0</v>
      </c>
      <c r="N23" s="194">
        <f>G23*D23</f>
        <v>0</v>
      </c>
      <c r="O23" s="195">
        <f>H23*D23</f>
        <v>0</v>
      </c>
      <c r="P23" s="427">
        <f>I23*D23</f>
        <v>0</v>
      </c>
      <c r="Q23" s="196"/>
      <c r="R23" s="196"/>
      <c r="S23" s="196"/>
      <c r="T23"/>
      <c r="U23"/>
      <c r="V23"/>
      <c r="W23"/>
      <c r="X23"/>
      <c r="Y23"/>
      <c r="Z23"/>
      <c r="AA23"/>
      <c r="AB23"/>
    </row>
    <row r="24" spans="1:28">
      <c r="A24" s="444"/>
      <c r="B24" s="989"/>
      <c r="C24" s="431" t="s">
        <v>1663</v>
      </c>
      <c r="D24" s="432">
        <f>SUM(D19:D23)</f>
        <v>0</v>
      </c>
      <c r="E24" s="433">
        <f>IF(D24=0, 0, J24/D24)</f>
        <v>0</v>
      </c>
      <c r="F24" s="434">
        <f>IF(D24=0,0,M24/D24)</f>
        <v>0</v>
      </c>
      <c r="G24" s="434">
        <f>IF(D24=0,0,N24/D24)</f>
        <v>0</v>
      </c>
      <c r="H24" s="434">
        <f>IF($D24=0,0,O24/$D24)</f>
        <v>0</v>
      </c>
      <c r="I24" s="546">
        <f>IF($D24=0,0,P24/$D24)</f>
        <v>0</v>
      </c>
      <c r="J24" s="544">
        <f>SUM(J19:J23)</f>
        <v>0</v>
      </c>
      <c r="K24" s="202">
        <f>SUM(K19:K23)</f>
        <v>0</v>
      </c>
      <c r="L24" s="203">
        <f>IF(D24=0,0,F24/E24)</f>
        <v>0</v>
      </c>
      <c r="M24" s="204">
        <f>SUM(M19:M23)</f>
        <v>0</v>
      </c>
      <c r="N24" s="204">
        <f>SUM(N19:N23)</f>
        <v>0</v>
      </c>
      <c r="O24" s="205">
        <f>SUM(O19:O23)</f>
        <v>0</v>
      </c>
      <c r="P24" s="438">
        <f>SUM(P19:P23)</f>
        <v>0</v>
      </c>
      <c r="S24" s="206"/>
    </row>
    <row r="25" spans="1:28">
      <c r="A25" s="444"/>
      <c r="C25" s="182"/>
      <c r="D25" s="368"/>
      <c r="E25" s="368"/>
      <c r="F25" s="182"/>
      <c r="G25" s="182"/>
      <c r="H25" s="182"/>
      <c r="I25" s="182"/>
      <c r="J25" s="182"/>
      <c r="K25" s="1121"/>
      <c r="S25" s="206"/>
    </row>
    <row r="26" spans="1:28">
      <c r="A26" s="444"/>
      <c r="B26" s="1061"/>
      <c r="C26" s="1061"/>
      <c r="D26" s="1064"/>
      <c r="E26" s="1122"/>
      <c r="F26" s="1117"/>
      <c r="G26" s="1117"/>
      <c r="H26" s="1062"/>
      <c r="I26" s="1117"/>
      <c r="J26" s="1117"/>
      <c r="K26" s="1117"/>
      <c r="L26" s="1118"/>
      <c r="M26" s="1063"/>
      <c r="O26" s="182"/>
      <c r="P26" s="182"/>
      <c r="S26" s="206"/>
    </row>
    <row r="27" spans="1:28">
      <c r="A27" s="444"/>
      <c r="B27" s="440"/>
      <c r="C27" s="411"/>
      <c r="D27" s="412"/>
      <c r="E27" s="412"/>
      <c r="F27" s="413" t="s">
        <v>1649</v>
      </c>
      <c r="G27" s="413" t="s">
        <v>145</v>
      </c>
      <c r="H27" s="413" t="s">
        <v>40</v>
      </c>
      <c r="I27" s="539" t="s">
        <v>1650</v>
      </c>
      <c r="J27" s="183" t="s">
        <v>1651</v>
      </c>
      <c r="K27" s="183" t="s">
        <v>1652</v>
      </c>
      <c r="L27" s="183" t="s">
        <v>1653</v>
      </c>
      <c r="M27" s="184" t="s">
        <v>1653</v>
      </c>
      <c r="N27" s="185" t="s">
        <v>145</v>
      </c>
      <c r="O27" s="185" t="s">
        <v>40</v>
      </c>
      <c r="P27" s="415" t="s">
        <v>731</v>
      </c>
      <c r="S27" s="206"/>
      <c r="T27" s="199"/>
      <c r="U27" s="199"/>
      <c r="V27" s="199"/>
      <c r="W27" s="199"/>
      <c r="X27" s="200"/>
      <c r="Y27" s="200"/>
      <c r="Z27" s="193"/>
      <c r="AA27" s="201"/>
      <c r="AB27" s="201"/>
    </row>
    <row r="28" spans="1:28">
      <c r="A28" s="444"/>
      <c r="B28" s="441"/>
      <c r="C28" s="411"/>
      <c r="D28" s="412" t="s">
        <v>987</v>
      </c>
      <c r="E28" s="412" t="s">
        <v>988</v>
      </c>
      <c r="F28" s="413" t="s">
        <v>1654</v>
      </c>
      <c r="G28" s="413" t="s">
        <v>1654</v>
      </c>
      <c r="H28" s="413" t="s">
        <v>1654</v>
      </c>
      <c r="I28" s="414" t="s">
        <v>1655</v>
      </c>
      <c r="J28" s="183" t="s">
        <v>988</v>
      </c>
      <c r="K28" s="183" t="s">
        <v>145</v>
      </c>
      <c r="L28" s="183" t="s">
        <v>1656</v>
      </c>
      <c r="M28" s="184" t="s">
        <v>39</v>
      </c>
      <c r="N28" s="187" t="s">
        <v>39</v>
      </c>
      <c r="O28" s="187" t="s">
        <v>39</v>
      </c>
      <c r="P28" s="417" t="s">
        <v>39</v>
      </c>
      <c r="S28" s="206"/>
      <c r="T28" s="199"/>
      <c r="U28" s="199"/>
      <c r="V28" s="199"/>
      <c r="W28" s="199"/>
      <c r="X28" s="200"/>
      <c r="Y28" s="200"/>
      <c r="Z28" s="193"/>
      <c r="AA28" s="201"/>
      <c r="AB28" s="201"/>
    </row>
    <row r="29" spans="1:28">
      <c r="A29" s="444"/>
      <c r="B29" s="446" t="s">
        <v>42</v>
      </c>
      <c r="C29" s="419" t="s">
        <v>1664</v>
      </c>
      <c r="D29" s="420" t="s">
        <v>990</v>
      </c>
      <c r="E29" s="420" t="s">
        <v>992</v>
      </c>
      <c r="F29" s="421" t="s">
        <v>1661</v>
      </c>
      <c r="G29" s="421" t="s">
        <v>1661</v>
      </c>
      <c r="H29" s="421" t="s">
        <v>1661</v>
      </c>
      <c r="I29" s="422" t="s">
        <v>1661</v>
      </c>
      <c r="J29" s="188" t="s">
        <v>992</v>
      </c>
      <c r="K29" s="188" t="s">
        <v>47</v>
      </c>
      <c r="L29" s="188" t="s">
        <v>1662</v>
      </c>
      <c r="M29" s="189" t="s">
        <v>47</v>
      </c>
      <c r="N29" s="190" t="s">
        <v>47</v>
      </c>
      <c r="O29" s="190" t="s">
        <v>47</v>
      </c>
      <c r="P29" s="423" t="s">
        <v>47</v>
      </c>
      <c r="S29" s="206"/>
      <c r="T29" s="200"/>
      <c r="U29" s="200"/>
      <c r="V29" s="193"/>
      <c r="W29" s="201"/>
      <c r="X29" s="201"/>
    </row>
    <row r="30" spans="1:28">
      <c r="A30" s="574" t="str">
        <f>IFERROR(VALUE(LEFT(B30,1))&amp;" Bedroom",IFERROR(VLOOKUP(LEFT(B30,3),DDL_UnitLookup,2,FALSE),"Unknown"))</f>
        <v>Unknown</v>
      </c>
      <c r="B30" s="1038"/>
      <c r="C30" s="1039"/>
      <c r="D30" s="1040"/>
      <c r="E30" s="1040"/>
      <c r="F30" s="1041"/>
      <c r="G30" s="1041"/>
      <c r="H30" s="1041"/>
      <c r="I30" s="540"/>
      <c r="J30" s="542">
        <f>D30*E30</f>
        <v>0</v>
      </c>
      <c r="K30" s="192">
        <f>N30*12</f>
        <v>0</v>
      </c>
      <c r="L30" s="193">
        <f>IF(D30=0, 0, F30/E30)</f>
        <v>0</v>
      </c>
      <c r="M30" s="194">
        <f>F30*D30</f>
        <v>0</v>
      </c>
      <c r="N30" s="194">
        <f>G30*D30</f>
        <v>0</v>
      </c>
      <c r="O30" s="195">
        <f>H30*D30</f>
        <v>0</v>
      </c>
      <c r="P30" s="427">
        <f>I30*D30</f>
        <v>0</v>
      </c>
      <c r="S30" s="206"/>
      <c r="T30" s="200"/>
      <c r="U30" s="200"/>
      <c r="V30" s="193"/>
      <c r="W30" s="201"/>
      <c r="X30" s="201"/>
    </row>
    <row r="31" spans="1:28">
      <c r="A31" s="444" t="str">
        <f>A30</f>
        <v>Unknown</v>
      </c>
      <c r="B31" s="990">
        <f>B30</f>
        <v>0</v>
      </c>
      <c r="C31" s="1042"/>
      <c r="D31" s="1043"/>
      <c r="E31" s="1043"/>
      <c r="F31" s="1044"/>
      <c r="G31" s="1044"/>
      <c r="H31" s="1044"/>
      <c r="I31" s="541"/>
      <c r="J31" s="543">
        <f>D31*E31</f>
        <v>0</v>
      </c>
      <c r="K31" s="198">
        <f>N31*12</f>
        <v>0</v>
      </c>
      <c r="L31" s="193">
        <f>IF(D31=0, 0, F31/E31)</f>
        <v>0</v>
      </c>
      <c r="M31" s="194">
        <f>F31*D31</f>
        <v>0</v>
      </c>
      <c r="N31" s="194">
        <f>G31*D31</f>
        <v>0</v>
      </c>
      <c r="O31" s="195">
        <f>H31*D31</f>
        <v>0</v>
      </c>
      <c r="P31" s="427">
        <f>I31*D31</f>
        <v>0</v>
      </c>
      <c r="S31" s="206"/>
      <c r="T31" s="200"/>
      <c r="U31" s="200"/>
      <c r="V31" s="193"/>
      <c r="W31" s="201"/>
      <c r="X31" s="201"/>
    </row>
    <row r="32" spans="1:28">
      <c r="A32" s="444" t="str">
        <f>A31</f>
        <v>Unknown</v>
      </c>
      <c r="B32" s="990">
        <f t="shared" ref="B32:B34" si="2">B31</f>
        <v>0</v>
      </c>
      <c r="C32" s="1042"/>
      <c r="D32" s="1043"/>
      <c r="E32" s="1043"/>
      <c r="F32" s="1044"/>
      <c r="G32" s="1046"/>
      <c r="H32" s="1044"/>
      <c r="I32" s="541"/>
      <c r="J32" s="543">
        <f>D32*E32</f>
        <v>0</v>
      </c>
      <c r="K32" s="198">
        <f>N32*12</f>
        <v>0</v>
      </c>
      <c r="L32" s="193">
        <f>IF(D32=0, 0, F32/E32)</f>
        <v>0</v>
      </c>
      <c r="M32" s="194">
        <f>F32*D32</f>
        <v>0</v>
      </c>
      <c r="N32" s="194">
        <f>G32*D32</f>
        <v>0</v>
      </c>
      <c r="O32" s="195">
        <f>H32*D32</f>
        <v>0</v>
      </c>
      <c r="P32" s="427">
        <f>I32*D32</f>
        <v>0</v>
      </c>
      <c r="S32" s="206"/>
      <c r="T32" s="200"/>
      <c r="U32" s="200"/>
      <c r="V32" s="193"/>
      <c r="W32" s="201"/>
      <c r="X32" s="201"/>
    </row>
    <row r="33" spans="1:24">
      <c r="A33" s="444" t="str">
        <f>A32</f>
        <v>Unknown</v>
      </c>
      <c r="B33" s="990">
        <f t="shared" si="2"/>
        <v>0</v>
      </c>
      <c r="C33" s="1042"/>
      <c r="D33" s="1043"/>
      <c r="E33" s="1043"/>
      <c r="F33" s="1044"/>
      <c r="G33" s="1046"/>
      <c r="H33" s="1044"/>
      <c r="I33" s="541"/>
      <c r="J33" s="543">
        <f>D33*E33</f>
        <v>0</v>
      </c>
      <c r="K33" s="198">
        <f>N33*12</f>
        <v>0</v>
      </c>
      <c r="L33" s="193">
        <f>IF(D33=0, 0, F33/E33)</f>
        <v>0</v>
      </c>
      <c r="M33" s="194">
        <f>F33*D33</f>
        <v>0</v>
      </c>
      <c r="N33" s="194">
        <f>G33*D33</f>
        <v>0</v>
      </c>
      <c r="O33" s="195">
        <f>H33*D33</f>
        <v>0</v>
      </c>
      <c r="P33" s="427">
        <f>I33*D33</f>
        <v>0</v>
      </c>
      <c r="T33" s="200"/>
      <c r="U33" s="200"/>
      <c r="V33" s="193"/>
      <c r="W33" s="201"/>
      <c r="X33" s="201"/>
    </row>
    <row r="34" spans="1:24">
      <c r="A34" s="444" t="str">
        <f>A33</f>
        <v>Unknown</v>
      </c>
      <c r="B34" s="990">
        <f t="shared" si="2"/>
        <v>0</v>
      </c>
      <c r="C34" s="1042"/>
      <c r="D34" s="1043"/>
      <c r="E34" s="1043"/>
      <c r="F34" s="1044"/>
      <c r="G34" s="1046"/>
      <c r="H34" s="1044"/>
      <c r="I34" s="541"/>
      <c r="J34" s="543">
        <f>D34*E34</f>
        <v>0</v>
      </c>
      <c r="K34" s="198">
        <f>N34*12</f>
        <v>0</v>
      </c>
      <c r="L34" s="193">
        <f>IF(D34=0, 0, F34/E34)</f>
        <v>0</v>
      </c>
      <c r="M34" s="194">
        <f>F34*D34</f>
        <v>0</v>
      </c>
      <c r="N34" s="194">
        <f>G34*D34</f>
        <v>0</v>
      </c>
      <c r="O34" s="195">
        <f>H34*D34</f>
        <v>0</v>
      </c>
      <c r="P34" s="427">
        <f>I34*D34</f>
        <v>0</v>
      </c>
      <c r="T34" s="200"/>
      <c r="U34" s="200"/>
      <c r="V34" s="193"/>
      <c r="W34" s="201"/>
      <c r="X34" s="201"/>
    </row>
    <row r="35" spans="1:24">
      <c r="A35" s="444"/>
      <c r="B35" s="989"/>
      <c r="C35" s="431" t="s">
        <v>1663</v>
      </c>
      <c r="D35" s="432">
        <f>SUM(D30:D34)</f>
        <v>0</v>
      </c>
      <c r="E35" s="433">
        <f>IF(D35=0, 0, J35/D35)</f>
        <v>0</v>
      </c>
      <c r="F35" s="434">
        <f>IF(D35=0,0,M35/D35)</f>
        <v>0</v>
      </c>
      <c r="G35" s="434">
        <f>IF(D35=0,0,N35/D35)</f>
        <v>0</v>
      </c>
      <c r="H35" s="434">
        <f>IF($D35=0,0,O35/$D35)</f>
        <v>0</v>
      </c>
      <c r="I35" s="546">
        <f>IF($D35=0,0,P35/$D35)</f>
        <v>0</v>
      </c>
      <c r="J35" s="544">
        <f>SUM(J30:J34)</f>
        <v>0</v>
      </c>
      <c r="K35" s="202">
        <f>SUM(K30:K34)</f>
        <v>0</v>
      </c>
      <c r="L35" s="203">
        <f>IF(D35=0,0,F35/E35)</f>
        <v>0</v>
      </c>
      <c r="M35" s="204">
        <f>SUM(M30:M34)</f>
        <v>0</v>
      </c>
      <c r="N35" s="204">
        <f>SUM(N30:N34)</f>
        <v>0</v>
      </c>
      <c r="O35" s="205">
        <f>SUM(O30:O34)</f>
        <v>0</v>
      </c>
      <c r="P35" s="438">
        <f>SUM(P30:P34)</f>
        <v>0</v>
      </c>
      <c r="T35" s="200"/>
      <c r="U35" s="200"/>
      <c r="V35" s="193"/>
      <c r="W35" s="201"/>
      <c r="X35" s="201"/>
    </row>
    <row r="36" spans="1:24">
      <c r="A36" s="444"/>
      <c r="C36" s="182"/>
      <c r="D36" s="368"/>
      <c r="E36" s="368"/>
      <c r="F36" s="182"/>
      <c r="G36" s="182"/>
      <c r="H36" s="182"/>
      <c r="I36" s="182"/>
      <c r="J36" s="182"/>
      <c r="K36" s="1121"/>
      <c r="T36" s="200"/>
      <c r="U36" s="200"/>
      <c r="V36" s="193"/>
      <c r="W36" s="201"/>
      <c r="X36" s="201"/>
    </row>
    <row r="37" spans="1:24">
      <c r="A37" s="444"/>
      <c r="B37" s="1061"/>
      <c r="C37" s="1061"/>
      <c r="D37" s="1064"/>
      <c r="E37" s="1122"/>
      <c r="F37" s="1117"/>
      <c r="G37" s="1117"/>
      <c r="H37" s="1062"/>
      <c r="I37" s="1117"/>
      <c r="J37" s="1117"/>
      <c r="K37" s="1117"/>
      <c r="L37" s="1118"/>
      <c r="M37" s="1063"/>
      <c r="O37" s="182"/>
      <c r="P37" s="182"/>
      <c r="T37" s="200"/>
      <c r="U37" s="200"/>
      <c r="V37" s="193"/>
      <c r="W37" s="201"/>
      <c r="X37" s="201"/>
    </row>
    <row r="38" spans="1:24">
      <c r="A38" s="444"/>
      <c r="B38" s="440"/>
      <c r="C38" s="411"/>
      <c r="D38" s="412"/>
      <c r="E38" s="412"/>
      <c r="F38" s="413" t="s">
        <v>1649</v>
      </c>
      <c r="G38" s="413" t="s">
        <v>145</v>
      </c>
      <c r="H38" s="413" t="s">
        <v>40</v>
      </c>
      <c r="I38" s="539" t="s">
        <v>1650</v>
      </c>
      <c r="J38" s="183" t="s">
        <v>1651</v>
      </c>
      <c r="K38" s="183" t="s">
        <v>1652</v>
      </c>
      <c r="L38" s="183" t="s">
        <v>1653</v>
      </c>
      <c r="M38" s="184" t="s">
        <v>1653</v>
      </c>
      <c r="N38" s="185" t="s">
        <v>145</v>
      </c>
      <c r="O38" s="185" t="s">
        <v>40</v>
      </c>
      <c r="P38" s="415" t="s">
        <v>731</v>
      </c>
    </row>
    <row r="39" spans="1:24">
      <c r="A39" s="444"/>
      <c r="B39" s="441"/>
      <c r="C39" s="411"/>
      <c r="D39" s="412" t="s">
        <v>987</v>
      </c>
      <c r="E39" s="412" t="s">
        <v>988</v>
      </c>
      <c r="F39" s="413" t="s">
        <v>1654</v>
      </c>
      <c r="G39" s="413" t="s">
        <v>1654</v>
      </c>
      <c r="H39" s="413" t="s">
        <v>1654</v>
      </c>
      <c r="I39" s="414" t="s">
        <v>1655</v>
      </c>
      <c r="J39" s="183" t="s">
        <v>988</v>
      </c>
      <c r="K39" s="183" t="s">
        <v>145</v>
      </c>
      <c r="L39" s="183" t="s">
        <v>1656</v>
      </c>
      <c r="M39" s="184" t="s">
        <v>39</v>
      </c>
      <c r="N39" s="187" t="s">
        <v>39</v>
      </c>
      <c r="O39" s="187" t="s">
        <v>39</v>
      </c>
      <c r="P39" s="417" t="s">
        <v>39</v>
      </c>
    </row>
    <row r="40" spans="1:24">
      <c r="A40" s="444"/>
      <c r="B40" s="446" t="s">
        <v>42</v>
      </c>
      <c r="C40" s="419" t="s">
        <v>1664</v>
      </c>
      <c r="D40" s="420" t="s">
        <v>990</v>
      </c>
      <c r="E40" s="420" t="s">
        <v>992</v>
      </c>
      <c r="F40" s="421" t="s">
        <v>1661</v>
      </c>
      <c r="G40" s="421" t="s">
        <v>1661</v>
      </c>
      <c r="H40" s="421" t="s">
        <v>1661</v>
      </c>
      <c r="I40" s="422" t="s">
        <v>1661</v>
      </c>
      <c r="J40" s="188" t="s">
        <v>992</v>
      </c>
      <c r="K40" s="188" t="s">
        <v>47</v>
      </c>
      <c r="L40" s="188" t="s">
        <v>1662</v>
      </c>
      <c r="M40" s="189" t="s">
        <v>47</v>
      </c>
      <c r="N40" s="190" t="s">
        <v>47</v>
      </c>
      <c r="O40" s="190" t="s">
        <v>47</v>
      </c>
      <c r="P40" s="423" t="s">
        <v>47</v>
      </c>
    </row>
    <row r="41" spans="1:24">
      <c r="A41" s="444" t="str">
        <f>IFERROR(VALUE(LEFT(B41,1))&amp;" Bedroom",IFERROR(VLOOKUP(LEFT(B41,3),DDL_UnitLookup,2,FALSE),"Unknown"))</f>
        <v>Unknown</v>
      </c>
      <c r="B41" s="1038"/>
      <c r="C41" s="1039"/>
      <c r="D41" s="1040"/>
      <c r="E41" s="1040"/>
      <c r="F41" s="1041"/>
      <c r="G41" s="1041"/>
      <c r="H41" s="1041"/>
      <c r="I41" s="540"/>
      <c r="J41" s="542">
        <f>D41*E41</f>
        <v>0</v>
      </c>
      <c r="K41" s="192">
        <f>N41*12</f>
        <v>0</v>
      </c>
      <c r="L41" s="193">
        <f>IF(D41=0, 0, F41/E41)</f>
        <v>0</v>
      </c>
      <c r="M41" s="194">
        <f>F41*D41</f>
        <v>0</v>
      </c>
      <c r="N41" s="194">
        <f>G41*D41</f>
        <v>0</v>
      </c>
      <c r="O41" s="195">
        <f>H41*D41</f>
        <v>0</v>
      </c>
      <c r="P41" s="427">
        <f>I41*D41</f>
        <v>0</v>
      </c>
    </row>
    <row r="42" spans="1:24">
      <c r="A42" s="444" t="str">
        <f>A41</f>
        <v>Unknown</v>
      </c>
      <c r="B42" s="990">
        <f>B41</f>
        <v>0</v>
      </c>
      <c r="C42" s="1042"/>
      <c r="D42" s="1043"/>
      <c r="E42" s="1043"/>
      <c r="F42" s="1044"/>
      <c r="G42" s="1044"/>
      <c r="H42" s="1044"/>
      <c r="I42" s="541"/>
      <c r="J42" s="543">
        <f>D42*E42</f>
        <v>0</v>
      </c>
      <c r="K42" s="198">
        <f>N42*12</f>
        <v>0</v>
      </c>
      <c r="L42" s="193">
        <f>IF(D42=0, 0, F42/E42)</f>
        <v>0</v>
      </c>
      <c r="M42" s="194">
        <f>F42*D42</f>
        <v>0</v>
      </c>
      <c r="N42" s="194">
        <f>G42*D42</f>
        <v>0</v>
      </c>
      <c r="O42" s="195">
        <f>H42*D42</f>
        <v>0</v>
      </c>
      <c r="P42" s="427">
        <f>I42*D42</f>
        <v>0</v>
      </c>
    </row>
    <row r="43" spans="1:24">
      <c r="A43" s="444" t="str">
        <f>A42</f>
        <v>Unknown</v>
      </c>
      <c r="B43" s="990">
        <f t="shared" ref="B43:B45" si="3">B42</f>
        <v>0</v>
      </c>
      <c r="C43" s="1042"/>
      <c r="D43" s="1043"/>
      <c r="E43" s="1043"/>
      <c r="F43" s="1044"/>
      <c r="G43" s="1046"/>
      <c r="H43" s="1044"/>
      <c r="I43" s="541"/>
      <c r="J43" s="543">
        <f>D43*E43</f>
        <v>0</v>
      </c>
      <c r="K43" s="198">
        <f>N43*12</f>
        <v>0</v>
      </c>
      <c r="L43" s="193">
        <f>IF(D43=0, 0, F43/E43)</f>
        <v>0</v>
      </c>
      <c r="M43" s="194">
        <f>F43*D43</f>
        <v>0</v>
      </c>
      <c r="N43" s="194">
        <f>G43*D43</f>
        <v>0</v>
      </c>
      <c r="O43" s="195">
        <f>H43*D43</f>
        <v>0</v>
      </c>
      <c r="P43" s="427">
        <f>I43*D43</f>
        <v>0</v>
      </c>
    </row>
    <row r="44" spans="1:24">
      <c r="A44" s="444" t="str">
        <f>A43</f>
        <v>Unknown</v>
      </c>
      <c r="B44" s="990">
        <f t="shared" si="3"/>
        <v>0</v>
      </c>
      <c r="C44" s="1042"/>
      <c r="D44" s="1043"/>
      <c r="E44" s="1043"/>
      <c r="F44" s="1044"/>
      <c r="G44" s="1046"/>
      <c r="H44" s="1044"/>
      <c r="I44" s="541"/>
      <c r="J44" s="543">
        <f>D44*E44</f>
        <v>0</v>
      </c>
      <c r="K44" s="198">
        <f>N44*12</f>
        <v>0</v>
      </c>
      <c r="L44" s="193">
        <f>IF(D44=0, 0, F44/E44)</f>
        <v>0</v>
      </c>
      <c r="M44" s="194">
        <f>F44*D44</f>
        <v>0</v>
      </c>
      <c r="N44" s="194">
        <f>G44*D44</f>
        <v>0</v>
      </c>
      <c r="O44" s="195">
        <f>H44*D44</f>
        <v>0</v>
      </c>
      <c r="P44" s="427">
        <f>I44*D44</f>
        <v>0</v>
      </c>
    </row>
    <row r="45" spans="1:24">
      <c r="A45" s="444" t="str">
        <f>A44</f>
        <v>Unknown</v>
      </c>
      <c r="B45" s="990">
        <f t="shared" si="3"/>
        <v>0</v>
      </c>
      <c r="C45" s="1042"/>
      <c r="D45" s="1043"/>
      <c r="E45" s="1043"/>
      <c r="F45" s="1044"/>
      <c r="G45" s="1046"/>
      <c r="H45" s="1044"/>
      <c r="I45" s="541"/>
      <c r="J45" s="543">
        <f>D45*E45</f>
        <v>0</v>
      </c>
      <c r="K45" s="198">
        <f>N45*12</f>
        <v>0</v>
      </c>
      <c r="L45" s="193">
        <f>IF(D45=0, 0, F45/E45)</f>
        <v>0</v>
      </c>
      <c r="M45" s="194">
        <f>F45*D45</f>
        <v>0</v>
      </c>
      <c r="N45" s="194">
        <f>G45*D45</f>
        <v>0</v>
      </c>
      <c r="O45" s="195">
        <f>H45*D45</f>
        <v>0</v>
      </c>
      <c r="P45" s="427">
        <f>I45*D45</f>
        <v>0</v>
      </c>
    </row>
    <row r="46" spans="1:24">
      <c r="A46" s="444"/>
      <c r="B46" s="989"/>
      <c r="C46" s="431" t="s">
        <v>1663</v>
      </c>
      <c r="D46" s="432">
        <f>SUM(D41:D45)</f>
        <v>0</v>
      </c>
      <c r="E46" s="433">
        <f>IF(D46=0, 0, J46/D46)</f>
        <v>0</v>
      </c>
      <c r="F46" s="434">
        <f>IF(D46=0,0,M46/D46)</f>
        <v>0</v>
      </c>
      <c r="G46" s="434">
        <f>IF(D46=0,0,N46/D46)</f>
        <v>0</v>
      </c>
      <c r="H46" s="434">
        <f>IF($D46=0,0,O46/$D46)</f>
        <v>0</v>
      </c>
      <c r="I46" s="546">
        <f>IF($D46=0,0,P46/$D46)</f>
        <v>0</v>
      </c>
      <c r="J46" s="544">
        <f>SUM(J41:J45)</f>
        <v>0</v>
      </c>
      <c r="K46" s="202">
        <f>O46*12</f>
        <v>0</v>
      </c>
      <c r="L46" s="203">
        <f>IF(D46=0,0,F46/E46)</f>
        <v>0</v>
      </c>
      <c r="M46" s="204">
        <f>SUM(M41:M45)</f>
        <v>0</v>
      </c>
      <c r="N46" s="204">
        <f>SUM(N41:N45)</f>
        <v>0</v>
      </c>
      <c r="O46" s="205">
        <f>SUM(O41:O45)</f>
        <v>0</v>
      </c>
      <c r="P46" s="438">
        <f>SUM(P41:P45)</f>
        <v>0</v>
      </c>
      <c r="Q46" s="201"/>
      <c r="R46" s="207"/>
    </row>
    <row r="47" spans="1:24">
      <c r="D47" s="208"/>
      <c r="E47" s="209"/>
      <c r="F47" s="200"/>
      <c r="G47" s="200"/>
      <c r="H47" s="200"/>
      <c r="I47" s="200"/>
      <c r="J47" s="210"/>
      <c r="K47" s="201"/>
      <c r="L47" s="193"/>
      <c r="M47" s="201"/>
      <c r="O47" s="196"/>
      <c r="P47" s="196"/>
      <c r="Q47" s="201"/>
    </row>
    <row r="48" spans="1:24">
      <c r="A48" s="444"/>
      <c r="B48" s="1061"/>
      <c r="C48" s="1061"/>
      <c r="D48" s="1064"/>
      <c r="E48" s="1122"/>
      <c r="F48" s="1117"/>
      <c r="G48" s="1117"/>
      <c r="H48" s="1062"/>
      <c r="I48" s="1117"/>
      <c r="J48" s="1117"/>
      <c r="K48" s="1117"/>
      <c r="L48" s="1118"/>
      <c r="M48" s="1063"/>
      <c r="O48" s="182"/>
      <c r="P48" s="182"/>
    </row>
    <row r="49" spans="1:16">
      <c r="A49" s="444"/>
      <c r="B49" s="440"/>
      <c r="C49" s="411"/>
      <c r="D49" s="412"/>
      <c r="E49" s="412"/>
      <c r="F49" s="413" t="s">
        <v>1649</v>
      </c>
      <c r="G49" s="413" t="s">
        <v>145</v>
      </c>
      <c r="H49" s="413" t="s">
        <v>40</v>
      </c>
      <c r="I49" s="539" t="s">
        <v>1650</v>
      </c>
      <c r="J49" s="183" t="s">
        <v>1651</v>
      </c>
      <c r="K49" s="183" t="s">
        <v>1652</v>
      </c>
      <c r="L49" s="183" t="s">
        <v>1653</v>
      </c>
      <c r="M49" s="184" t="s">
        <v>1653</v>
      </c>
      <c r="N49" s="185" t="s">
        <v>145</v>
      </c>
      <c r="O49" s="185" t="s">
        <v>40</v>
      </c>
      <c r="P49" s="415" t="s">
        <v>731</v>
      </c>
    </row>
    <row r="50" spans="1:16">
      <c r="A50" s="444"/>
      <c r="B50" s="441"/>
      <c r="C50" s="411"/>
      <c r="D50" s="412" t="s">
        <v>987</v>
      </c>
      <c r="E50" s="412" t="s">
        <v>988</v>
      </c>
      <c r="F50" s="413" t="s">
        <v>1654</v>
      </c>
      <c r="G50" s="413" t="s">
        <v>1654</v>
      </c>
      <c r="H50" s="413" t="s">
        <v>1654</v>
      </c>
      <c r="I50" s="414" t="s">
        <v>1655</v>
      </c>
      <c r="J50" s="183" t="s">
        <v>988</v>
      </c>
      <c r="K50" s="183" t="s">
        <v>145</v>
      </c>
      <c r="L50" s="183" t="s">
        <v>1656</v>
      </c>
      <c r="M50" s="184" t="s">
        <v>39</v>
      </c>
      <c r="N50" s="187" t="s">
        <v>39</v>
      </c>
      <c r="O50" s="187" t="s">
        <v>39</v>
      </c>
      <c r="P50" s="417" t="s">
        <v>39</v>
      </c>
    </row>
    <row r="51" spans="1:16">
      <c r="A51" s="444"/>
      <c r="B51" s="446" t="s">
        <v>42</v>
      </c>
      <c r="C51" s="419" t="s">
        <v>1664</v>
      </c>
      <c r="D51" s="420" t="s">
        <v>990</v>
      </c>
      <c r="E51" s="420" t="s">
        <v>992</v>
      </c>
      <c r="F51" s="421" t="s">
        <v>1661</v>
      </c>
      <c r="G51" s="421" t="s">
        <v>1661</v>
      </c>
      <c r="H51" s="421" t="s">
        <v>1661</v>
      </c>
      <c r="I51" s="422" t="s">
        <v>1661</v>
      </c>
      <c r="J51" s="188" t="s">
        <v>992</v>
      </c>
      <c r="K51" s="188" t="s">
        <v>47</v>
      </c>
      <c r="L51" s="188" t="s">
        <v>1662</v>
      </c>
      <c r="M51" s="189" t="s">
        <v>47</v>
      </c>
      <c r="N51" s="190" t="s">
        <v>47</v>
      </c>
      <c r="O51" s="190" t="s">
        <v>47</v>
      </c>
      <c r="P51" s="423" t="s">
        <v>47</v>
      </c>
    </row>
    <row r="52" spans="1:16">
      <c r="A52" s="444" t="str">
        <f>IFERROR(VALUE(LEFT(B52,1))&amp;" Bedroom",IFERROR(VLOOKUP(LEFT(B52,3),DDL_UnitLookup,2,FALSE),"Unknown"))</f>
        <v>Unknown</v>
      </c>
      <c r="B52" s="1038"/>
      <c r="C52" s="1039"/>
      <c r="D52" s="1040"/>
      <c r="E52" s="1040"/>
      <c r="F52" s="1041"/>
      <c r="G52" s="1041"/>
      <c r="H52" s="1041"/>
      <c r="I52" s="540"/>
      <c r="J52" s="542">
        <f>D52*E52</f>
        <v>0</v>
      </c>
      <c r="K52" s="192">
        <f>N52*12</f>
        <v>0</v>
      </c>
      <c r="L52" s="193">
        <f>IF(D52=0, 0, F52/E52)</f>
        <v>0</v>
      </c>
      <c r="M52" s="194">
        <f>F52*D52</f>
        <v>0</v>
      </c>
      <c r="N52" s="194">
        <f>G52*D52</f>
        <v>0</v>
      </c>
      <c r="O52" s="195">
        <f>H52*D52</f>
        <v>0</v>
      </c>
      <c r="P52" s="427">
        <f>I52*D52</f>
        <v>0</v>
      </c>
    </row>
    <row r="53" spans="1:16">
      <c r="A53" s="444" t="str">
        <f>A52</f>
        <v>Unknown</v>
      </c>
      <c r="B53" s="990">
        <f>B52</f>
        <v>0</v>
      </c>
      <c r="C53" s="1042"/>
      <c r="D53" s="1043"/>
      <c r="E53" s="1043"/>
      <c r="F53" s="1044"/>
      <c r="G53" s="1044"/>
      <c r="H53" s="1044"/>
      <c r="I53" s="541"/>
      <c r="J53" s="543">
        <f>D53*E53</f>
        <v>0</v>
      </c>
      <c r="K53" s="198">
        <f>N53*12</f>
        <v>0</v>
      </c>
      <c r="L53" s="193">
        <f>IF(D53=0, 0, F53/E53)</f>
        <v>0</v>
      </c>
      <c r="M53" s="194">
        <f>F53*D53</f>
        <v>0</v>
      </c>
      <c r="N53" s="194">
        <f>G53*D53</f>
        <v>0</v>
      </c>
      <c r="O53" s="195">
        <f>H53*D53</f>
        <v>0</v>
      </c>
      <c r="P53" s="427">
        <f>I53*D53</f>
        <v>0</v>
      </c>
    </row>
    <row r="54" spans="1:16">
      <c r="A54" s="444" t="str">
        <f>A53</f>
        <v>Unknown</v>
      </c>
      <c r="B54" s="990">
        <f t="shared" ref="B54:B56" si="4">B53</f>
        <v>0</v>
      </c>
      <c r="C54" s="1042"/>
      <c r="D54" s="1043"/>
      <c r="E54" s="1043"/>
      <c r="F54" s="1044"/>
      <c r="G54" s="1046"/>
      <c r="H54" s="1044"/>
      <c r="I54" s="541"/>
      <c r="J54" s="543">
        <f>D54*E54</f>
        <v>0</v>
      </c>
      <c r="K54" s="198">
        <f>N54*12</f>
        <v>0</v>
      </c>
      <c r="L54" s="193">
        <f>IF(D54=0, 0, F54/E54)</f>
        <v>0</v>
      </c>
      <c r="M54" s="194">
        <f>F54*D54</f>
        <v>0</v>
      </c>
      <c r="N54" s="194">
        <f>G54*D54</f>
        <v>0</v>
      </c>
      <c r="O54" s="195">
        <f>H54*D54</f>
        <v>0</v>
      </c>
      <c r="P54" s="427">
        <f>I54*D54</f>
        <v>0</v>
      </c>
    </row>
    <row r="55" spans="1:16">
      <c r="A55" s="444" t="str">
        <f>A54</f>
        <v>Unknown</v>
      </c>
      <c r="B55" s="990">
        <f t="shared" si="4"/>
        <v>0</v>
      </c>
      <c r="C55" s="1042"/>
      <c r="D55" s="1043"/>
      <c r="E55" s="1043"/>
      <c r="F55" s="1044"/>
      <c r="G55" s="1046"/>
      <c r="H55" s="1044"/>
      <c r="I55" s="541"/>
      <c r="J55" s="543">
        <f>D55*E55</f>
        <v>0</v>
      </c>
      <c r="K55" s="198">
        <f>N55*12</f>
        <v>0</v>
      </c>
      <c r="L55" s="193">
        <f>IF(D55=0, 0, F55/E55)</f>
        <v>0</v>
      </c>
      <c r="M55" s="194">
        <f>F55*D55</f>
        <v>0</v>
      </c>
      <c r="N55" s="194">
        <f>G55*D55</f>
        <v>0</v>
      </c>
      <c r="O55" s="195">
        <f>H55*D55</f>
        <v>0</v>
      </c>
      <c r="P55" s="427">
        <f>I55*D55</f>
        <v>0</v>
      </c>
    </row>
    <row r="56" spans="1:16">
      <c r="A56" s="444" t="str">
        <f>A55</f>
        <v>Unknown</v>
      </c>
      <c r="B56" s="990">
        <f t="shared" si="4"/>
        <v>0</v>
      </c>
      <c r="C56" s="1042"/>
      <c r="D56" s="1043"/>
      <c r="E56" s="1043"/>
      <c r="F56" s="1044"/>
      <c r="G56" s="1046"/>
      <c r="H56" s="1044"/>
      <c r="I56" s="541"/>
      <c r="J56" s="543">
        <f>D56*E56</f>
        <v>0</v>
      </c>
      <c r="K56" s="198">
        <f>N56*12</f>
        <v>0</v>
      </c>
      <c r="L56" s="193">
        <f>IF(D56=0, 0, F56/E56)</f>
        <v>0</v>
      </c>
      <c r="M56" s="194">
        <f>F56*D56</f>
        <v>0</v>
      </c>
      <c r="N56" s="194">
        <f>G56*D56</f>
        <v>0</v>
      </c>
      <c r="O56" s="195">
        <f>H56*D56</f>
        <v>0</v>
      </c>
      <c r="P56" s="427">
        <f>I56*D56</f>
        <v>0</v>
      </c>
    </row>
    <row r="57" spans="1:16">
      <c r="A57" s="444"/>
      <c r="B57" s="989"/>
      <c r="C57" s="431" t="s">
        <v>1663</v>
      </c>
      <c r="D57" s="432">
        <f>SUM(D52:D56)</f>
        <v>0</v>
      </c>
      <c r="E57" s="433">
        <f>IF(D57=0, 0, J57/D57)</f>
        <v>0</v>
      </c>
      <c r="F57" s="434">
        <f>IF(D57=0,0,M57/D57)</f>
        <v>0</v>
      </c>
      <c r="G57" s="434">
        <f>IF(D57=0,0,N57/D57)</f>
        <v>0</v>
      </c>
      <c r="H57" s="434">
        <f>IF($D57=0,0,O57/$D57)</f>
        <v>0</v>
      </c>
      <c r="I57" s="546">
        <f>IF($D57=0,0,P57/$D57)</f>
        <v>0</v>
      </c>
      <c r="J57" s="544">
        <f>SUM(J52:J56)</f>
        <v>0</v>
      </c>
      <c r="K57" s="202">
        <f>O57*12</f>
        <v>0</v>
      </c>
      <c r="L57" s="203">
        <f>IF(D57=0,0,F57/E57)</f>
        <v>0</v>
      </c>
      <c r="M57" s="204">
        <f>SUM(M52:M56)</f>
        <v>0</v>
      </c>
      <c r="N57" s="204">
        <f>SUM(N52:N56)</f>
        <v>0</v>
      </c>
      <c r="O57" s="205">
        <f>SUM(O52:O56)</f>
        <v>0</v>
      </c>
      <c r="P57" s="438">
        <f>SUM(P52:P56)</f>
        <v>0</v>
      </c>
    </row>
    <row r="58" spans="1:16">
      <c r="C58" s="166" t="s">
        <v>1665</v>
      </c>
      <c r="D58" s="162" t="s">
        <v>1665</v>
      </c>
    </row>
    <row r="59" spans="1:16">
      <c r="C59" s="166" t="s">
        <v>1665</v>
      </c>
      <c r="D59" s="162" t="s">
        <v>1665</v>
      </c>
    </row>
    <row r="60" spans="1:16">
      <c r="C60" s="166" t="s">
        <v>1665</v>
      </c>
      <c r="D60" s="162"/>
    </row>
    <row r="61" spans="1:16">
      <c r="C61" s="166" t="s">
        <v>1665</v>
      </c>
      <c r="D61" s="162"/>
    </row>
    <row r="62" spans="1:16">
      <c r="C62" s="162"/>
      <c r="D62" s="162"/>
    </row>
    <row r="63" spans="1:16">
      <c r="C63" s="162"/>
      <c r="D63" s="162"/>
    </row>
    <row r="64" spans="1:16">
      <c r="C64" s="162"/>
      <c r="D64" s="162"/>
    </row>
    <row r="65" spans="3:18">
      <c r="C65" s="162"/>
      <c r="D65" s="162"/>
      <c r="R65" s="201"/>
    </row>
    <row r="66" spans="3:18">
      <c r="C66" s="162"/>
      <c r="D66" s="162"/>
      <c r="R66" s="201"/>
    </row>
    <row r="67" spans="3:18">
      <c r="C67" s="162"/>
      <c r="D67" s="162"/>
      <c r="R67" s="201"/>
    </row>
    <row r="68" spans="3:18">
      <c r="C68" s="162"/>
      <c r="D68" s="162"/>
      <c r="R68" s="201"/>
    </row>
    <row r="69" spans="3:18">
      <c r="C69" s="162"/>
      <c r="D69" s="162"/>
      <c r="R69" s="201"/>
    </row>
    <row r="70" spans="3:18">
      <c r="C70" s="162"/>
      <c r="D70" s="162"/>
      <c r="R70" s="201"/>
    </row>
    <row r="71" spans="3:18">
      <c r="R71" s="201"/>
    </row>
    <row r="72" spans="3:18">
      <c r="R72" s="201"/>
    </row>
    <row r="73" spans="3:18">
      <c r="R73" s="201"/>
    </row>
    <row r="74" spans="3:18">
      <c r="R74" s="201"/>
    </row>
    <row r="75" spans="3:18">
      <c r="R75" s="201"/>
    </row>
    <row r="76" spans="3:18">
      <c r="R76" s="201"/>
    </row>
    <row r="77" spans="3:18">
      <c r="R77" s="201"/>
    </row>
    <row r="78" spans="3:18">
      <c r="R78" s="201"/>
    </row>
    <row r="79" spans="3:18">
      <c r="R79" s="201"/>
    </row>
    <row r="80" spans="3:18">
      <c r="R80" s="201"/>
    </row>
    <row r="81" spans="18:18">
      <c r="R81" s="201"/>
    </row>
    <row r="82" spans="18:18">
      <c r="R82" s="201"/>
    </row>
    <row r="83" spans="18:18">
      <c r="R83" s="201"/>
    </row>
    <row r="84" spans="18:18">
      <c r="R84" s="201"/>
    </row>
    <row r="85" spans="18:18">
      <c r="R85" s="201"/>
    </row>
    <row r="86" spans="18:18">
      <c r="R86" s="201"/>
    </row>
    <row r="87" spans="18:18">
      <c r="R87" s="201"/>
    </row>
    <row r="108" spans="18:18">
      <c r="R108" s="211"/>
    </row>
  </sheetData>
  <conditionalFormatting sqref="R9">
    <cfRule type="expression" dxfId="67" priority="6">
      <formula>$R$5&lt;&gt;"Total Gross Square Feet"</formula>
    </cfRule>
  </conditionalFormatting>
  <dataValidations count="2">
    <dataValidation type="list" allowBlank="1" showInputMessage="1" showErrorMessage="1" sqref="R5" xr:uid="{00000000-0002-0000-0C00-000000000000}">
      <formula1>"Square Footage by Unit Type,Total Gross Square Feet"</formula1>
    </dataValidation>
    <dataValidation type="list" allowBlank="1" showInputMessage="1" showErrorMessage="1" sqref="R12" xr:uid="{00000000-0002-0000-0C00-000001000000}">
      <formula1>"Yes,No"</formula1>
    </dataValidation>
  </dataValidations>
  <printOptions horizontalCentered="1" verticalCentered="1"/>
  <pageMargins left="0.5" right="0.5" top="1.75" bottom="0.5" header="0" footer="0"/>
  <pageSetup fitToHeight="0" orientation="landscape" cellComments="atEnd" r:id="rId1"/>
  <headerFooter>
    <oddHeader>&amp;C&amp;A</oddHeader>
    <oddFooter>&amp;CNOTICE:This is a draft and not intended for client distribution.</oddFooter>
  </headerFooter>
  <customProperties>
    <customPr name="GUID" r:id="rId2"/>
  </customProperties>
  <ignoredErrors>
    <ignoredError sqref="L35 L13 L24" formula="1"/>
  </ignoredErrors>
  <drawing r:id="rId3"/>
  <legacy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94753-DA61-48BD-9DC6-E3C2EB8766BA}">
  <sheetPr codeName="Sheet22">
    <pageSetUpPr fitToPage="1"/>
  </sheetPr>
  <dimension ref="B1:M35"/>
  <sheetViews>
    <sheetView workbookViewId="0">
      <selection activeCell="M6" sqref="B2:M6"/>
    </sheetView>
  </sheetViews>
  <sheetFormatPr defaultColWidth="9.140625" defaultRowHeight="12.75"/>
  <cols>
    <col min="1" max="2" width="25.140625" customWidth="1"/>
    <col min="5" max="5" width="16.140625" bestFit="1" customWidth="1"/>
    <col min="6" max="6" width="19" bestFit="1" customWidth="1"/>
    <col min="7" max="7" width="17.42578125" bestFit="1" customWidth="1"/>
    <col min="8" max="8" width="16" bestFit="1" customWidth="1"/>
    <col min="9" max="9" width="18.85546875" bestFit="1" customWidth="1"/>
    <col min="10" max="10" width="17.42578125" bestFit="1" customWidth="1"/>
    <col min="11" max="11" width="15.140625" bestFit="1" customWidth="1"/>
    <col min="12" max="12" width="18" bestFit="1" customWidth="1"/>
    <col min="13" max="13" width="16.42578125" bestFit="1" customWidth="1"/>
  </cols>
  <sheetData>
    <row r="1" spans="2:13">
      <c r="B1" t="s">
        <v>987</v>
      </c>
      <c r="C1" t="s">
        <v>1666</v>
      </c>
      <c r="D1" t="s">
        <v>1667</v>
      </c>
      <c r="E1" t="s">
        <v>1668</v>
      </c>
      <c r="F1" t="s">
        <v>1669</v>
      </c>
      <c r="G1" t="s">
        <v>1670</v>
      </c>
      <c r="H1" t="str">
        <f>E1 &amp; " /Unit"</f>
        <v>Current Rent /Unit</v>
      </c>
      <c r="I1" t="str">
        <f t="shared" ref="I1:J1" si="0">F1 &amp; " /Unit"</f>
        <v>Scheduled Rent /Unit</v>
      </c>
      <c r="J1" t="str">
        <f t="shared" si="0"/>
        <v>Potential Rent /Unit</v>
      </c>
      <c r="K1" t="str">
        <f>E1&amp; " /SF"</f>
        <v>Current Rent /SF</v>
      </c>
      <c r="L1" t="str">
        <f t="shared" ref="L1:M1" si="1">F1&amp; " /SF"</f>
        <v>Scheduled Rent /SF</v>
      </c>
      <c r="M1" t="str">
        <f t="shared" si="1"/>
        <v>Potential Rent /SF</v>
      </c>
    </row>
    <row r="2" spans="2:13">
      <c r="B2" t="e" cm="1" vm="1">
        <f t="array" ref="B2">_xlfn.UNIQUE(_xlfn._xlws.FILTER('Rent Roll Summary Input'!B8:B56,('Rent Roll Summary Input'!B8:B56&lt;&gt;"Unit Type")*('Rent Roll Summary Input'!B8:B56&lt;&gt;0)))</f>
        <v>#VALUE!</v>
      </c>
      <c r="C2">
        <f>SUMIF('Rent Roll Summary Input'!$B$8:$B$56,'Rent Roll Summary Summary'!$B2,'Rent Roll Summary Input'!D$8:D$56)</f>
        <v>0</v>
      </c>
      <c r="D2">
        <f>SUMIF('Rent Roll Summary Input'!$B$8:$B$56,'Rent Roll Summary Summary'!$B2,'Rent Roll Summary Input'!J$8:J$56)</f>
        <v>0</v>
      </c>
      <c r="E2" s="267">
        <f>SUMIF('Rent Roll Summary Input'!$B$8:$B$56,'Rent Roll Summary Summary'!$B2,'Rent Roll Summary Input'!M$8:M$56)</f>
        <v>0</v>
      </c>
      <c r="F2" s="267">
        <f>SUMIF('Rent Roll Summary Input'!$B$8:$B$56,'Rent Roll Summary Summary'!$B2,'Rent Roll Summary Input'!N$8:N$56)</f>
        <v>0</v>
      </c>
      <c r="G2" s="267">
        <f>SUMIF('Rent Roll Summary Input'!$B$8:$B$56,'Rent Roll Summary Summary'!$B2,'Rent Roll Summary Input'!O$8:O$56)</f>
        <v>0</v>
      </c>
      <c r="H2" s="988">
        <f t="shared" ref="H2:J6" si="2">IFERROR(E2/$C2,)</f>
        <v>0</v>
      </c>
      <c r="I2" s="988">
        <f t="shared" si="2"/>
        <v>0</v>
      </c>
      <c r="J2" s="988">
        <f t="shared" si="2"/>
        <v>0</v>
      </c>
      <c r="K2" s="988">
        <f t="shared" ref="K2:M6" si="3">IFERROR(E2/$D2,)</f>
        <v>0</v>
      </c>
      <c r="L2" s="988">
        <f t="shared" si="3"/>
        <v>0</v>
      </c>
      <c r="M2" s="988">
        <f t="shared" si="3"/>
        <v>0</v>
      </c>
    </row>
    <row r="3" spans="2:13">
      <c r="C3">
        <f>SUMIF('Rent Roll Summary Input'!$B$8:$B$56,'Rent Roll Summary Summary'!$B3,'Rent Roll Summary Input'!D$8:D$56)</f>
        <v>0</v>
      </c>
      <c r="D3">
        <f>SUMIF('Rent Roll Summary Input'!$B$8:$B$56,'Rent Roll Summary Summary'!$B3,'Rent Roll Summary Input'!J$8:J$56)</f>
        <v>0</v>
      </c>
      <c r="E3" s="267">
        <f>SUMIF('Rent Roll Summary Input'!$B$8:$B$56,'Rent Roll Summary Summary'!$B3,'Rent Roll Summary Input'!M$8:M$56)</f>
        <v>0</v>
      </c>
      <c r="F3" s="267">
        <f>SUMIF('Rent Roll Summary Input'!$B$8:$B$56,'Rent Roll Summary Summary'!$B3,'Rent Roll Summary Input'!N$8:N$56)</f>
        <v>0</v>
      </c>
      <c r="G3" s="267">
        <f>SUMIF('Rent Roll Summary Input'!$B$8:$B$56,'Rent Roll Summary Summary'!$B3,'Rent Roll Summary Input'!O$8:O$56)</f>
        <v>0</v>
      </c>
      <c r="H3" s="988">
        <f t="shared" si="2"/>
        <v>0</v>
      </c>
      <c r="I3" s="988">
        <f t="shared" si="2"/>
        <v>0</v>
      </c>
      <c r="J3" s="988">
        <f t="shared" si="2"/>
        <v>0</v>
      </c>
      <c r="K3" s="988">
        <f t="shared" si="3"/>
        <v>0</v>
      </c>
      <c r="L3" s="988">
        <f t="shared" si="3"/>
        <v>0</v>
      </c>
      <c r="M3" s="988">
        <f t="shared" si="3"/>
        <v>0</v>
      </c>
    </row>
    <row r="4" spans="2:13">
      <c r="C4">
        <f>SUMIF('Rent Roll Summary Input'!$B$8:$B$56,'Rent Roll Summary Summary'!$B4,'Rent Roll Summary Input'!D$8:D$56)</f>
        <v>0</v>
      </c>
      <c r="D4">
        <f>SUMIF('Rent Roll Summary Input'!$B$8:$B$56,'Rent Roll Summary Summary'!$B4,'Rent Roll Summary Input'!J$8:J$56)</f>
        <v>0</v>
      </c>
      <c r="E4" s="267">
        <f>SUMIF('Rent Roll Summary Input'!$B$8:$B$56,'Rent Roll Summary Summary'!$B4,'Rent Roll Summary Input'!M$8:M$56)</f>
        <v>0</v>
      </c>
      <c r="F4" s="267">
        <f>SUMIF('Rent Roll Summary Input'!$B$8:$B$56,'Rent Roll Summary Summary'!$B4,'Rent Roll Summary Input'!N$8:N$56)</f>
        <v>0</v>
      </c>
      <c r="G4" s="267">
        <f>SUMIF('Rent Roll Summary Input'!$B$8:$B$56,'Rent Roll Summary Summary'!$B4,'Rent Roll Summary Input'!O$8:O$56)</f>
        <v>0</v>
      </c>
      <c r="H4" s="988">
        <f t="shared" si="2"/>
        <v>0</v>
      </c>
      <c r="I4" s="988">
        <f t="shared" si="2"/>
        <v>0</v>
      </c>
      <c r="J4" s="988">
        <f t="shared" si="2"/>
        <v>0</v>
      </c>
      <c r="K4" s="988">
        <f t="shared" si="3"/>
        <v>0</v>
      </c>
      <c r="L4" s="988">
        <f t="shared" si="3"/>
        <v>0</v>
      </c>
      <c r="M4" s="988">
        <f t="shared" si="3"/>
        <v>0</v>
      </c>
    </row>
    <row r="5" spans="2:13">
      <c r="C5">
        <f>SUMIF('Rent Roll Summary Input'!$B$8:$B$56,'Rent Roll Summary Summary'!$B5,'Rent Roll Summary Input'!D$8:D$56)</f>
        <v>0</v>
      </c>
      <c r="D5">
        <f>SUMIF('Rent Roll Summary Input'!$B$8:$B$56,'Rent Roll Summary Summary'!$B5,'Rent Roll Summary Input'!J$8:J$56)</f>
        <v>0</v>
      </c>
      <c r="E5" s="267">
        <f>SUMIF('Rent Roll Summary Input'!$B$8:$B$56,'Rent Roll Summary Summary'!$B5,'Rent Roll Summary Input'!M$8:M$56)</f>
        <v>0</v>
      </c>
      <c r="F5" s="267">
        <f>SUMIF('Rent Roll Summary Input'!$B$8:$B$56,'Rent Roll Summary Summary'!$B5,'Rent Roll Summary Input'!N$8:N$56)</f>
        <v>0</v>
      </c>
      <c r="G5" s="267">
        <f>SUMIF('Rent Roll Summary Input'!$B$8:$B$56,'Rent Roll Summary Summary'!$B5,'Rent Roll Summary Input'!O$8:O$56)</f>
        <v>0</v>
      </c>
      <c r="H5" s="988">
        <f t="shared" si="2"/>
        <v>0</v>
      </c>
      <c r="I5" s="988">
        <f t="shared" si="2"/>
        <v>0</v>
      </c>
      <c r="J5" s="988">
        <f t="shared" si="2"/>
        <v>0</v>
      </c>
      <c r="K5" s="988">
        <f t="shared" si="3"/>
        <v>0</v>
      </c>
      <c r="L5" s="988">
        <f t="shared" si="3"/>
        <v>0</v>
      </c>
      <c r="M5" s="988">
        <f t="shared" si="3"/>
        <v>0</v>
      </c>
    </row>
    <row r="6" spans="2:13">
      <c r="C6">
        <f>SUMIF('Rent Roll Summary Input'!$B$8:$B$56,'Rent Roll Summary Summary'!$B6,'Rent Roll Summary Input'!D$8:D$56)</f>
        <v>0</v>
      </c>
      <c r="D6">
        <f>SUMIF('Rent Roll Summary Input'!$B$8:$B$56,'Rent Roll Summary Summary'!$B6,'Rent Roll Summary Input'!J$8:J$56)</f>
        <v>0</v>
      </c>
      <c r="E6" s="267">
        <f>SUMIF('Rent Roll Summary Input'!$B$8:$B$56,'Rent Roll Summary Summary'!$B6,'Rent Roll Summary Input'!M$8:M$56)</f>
        <v>0</v>
      </c>
      <c r="F6" s="267">
        <f>SUMIF('Rent Roll Summary Input'!$B$8:$B$56,'Rent Roll Summary Summary'!$B6,'Rent Roll Summary Input'!N$8:N$56)</f>
        <v>0</v>
      </c>
      <c r="G6" s="267">
        <f>SUMIF('Rent Roll Summary Input'!$B$8:$B$56,'Rent Roll Summary Summary'!$B6,'Rent Roll Summary Input'!O$8:O$56)</f>
        <v>0</v>
      </c>
      <c r="H6" s="988">
        <f t="shared" si="2"/>
        <v>0</v>
      </c>
      <c r="I6" s="988">
        <f t="shared" si="2"/>
        <v>0</v>
      </c>
      <c r="J6" s="988">
        <f t="shared" si="2"/>
        <v>0</v>
      </c>
      <c r="K6" s="988">
        <f t="shared" si="3"/>
        <v>0</v>
      </c>
      <c r="L6" s="988">
        <f t="shared" si="3"/>
        <v>0</v>
      </c>
      <c r="M6" s="988">
        <f t="shared" si="3"/>
        <v>0</v>
      </c>
    </row>
    <row r="7" spans="2:13">
      <c r="E7" s="987"/>
      <c r="F7" s="987"/>
      <c r="G7" s="987"/>
      <c r="H7" s="988"/>
      <c r="I7" s="988"/>
      <c r="J7" s="988"/>
      <c r="K7" s="988"/>
      <c r="L7" s="988"/>
      <c r="M7" s="988"/>
    </row>
    <row r="8" spans="2:13">
      <c r="E8" s="987"/>
      <c r="F8" s="987"/>
      <c r="G8" s="987"/>
      <c r="H8" s="988"/>
      <c r="I8" s="988"/>
      <c r="J8" s="988"/>
      <c r="K8" s="988"/>
      <c r="L8" s="988"/>
      <c r="M8" s="988"/>
    </row>
    <row r="9" spans="2:13">
      <c r="E9" s="987"/>
      <c r="F9" s="987"/>
      <c r="G9" s="987"/>
      <c r="H9" s="988"/>
      <c r="I9" s="988"/>
      <c r="J9" s="988"/>
      <c r="K9" s="988"/>
      <c r="L9" s="988"/>
      <c r="M9" s="988"/>
    </row>
    <row r="10" spans="2:13">
      <c r="E10" s="987"/>
      <c r="F10" s="987"/>
      <c r="G10" s="987"/>
      <c r="H10" s="988"/>
      <c r="I10" s="988"/>
      <c r="J10" s="988"/>
      <c r="K10" s="988"/>
      <c r="L10" s="988"/>
      <c r="M10" s="988"/>
    </row>
    <row r="11" spans="2:13">
      <c r="E11" s="987"/>
      <c r="F11" s="987"/>
      <c r="G11" s="987"/>
      <c r="H11" s="988"/>
      <c r="I11" s="988"/>
      <c r="J11" s="988"/>
      <c r="K11" s="988"/>
      <c r="L11" s="988"/>
      <c r="M11" s="988"/>
    </row>
    <row r="12" spans="2:13">
      <c r="E12" s="987"/>
      <c r="F12" s="987"/>
      <c r="G12" s="987"/>
      <c r="H12" s="988"/>
      <c r="I12" s="988"/>
      <c r="J12" s="988"/>
      <c r="K12" s="988"/>
      <c r="L12" s="988"/>
      <c r="M12" s="988"/>
    </row>
    <row r="13" spans="2:13">
      <c r="E13" s="987"/>
      <c r="F13" s="987"/>
      <c r="G13" s="987"/>
      <c r="H13" s="988"/>
      <c r="I13" s="988"/>
      <c r="J13" s="988"/>
      <c r="K13" s="988"/>
      <c r="L13" s="988"/>
      <c r="M13" s="988"/>
    </row>
    <row r="14" spans="2:13">
      <c r="E14" s="987"/>
      <c r="F14" s="987"/>
      <c r="G14" s="987"/>
      <c r="H14" s="988"/>
      <c r="I14" s="988"/>
      <c r="J14" s="988"/>
      <c r="K14" s="988"/>
      <c r="L14" s="988"/>
      <c r="M14" s="988"/>
    </row>
    <row r="15" spans="2:13">
      <c r="E15" s="987"/>
      <c r="F15" s="987"/>
      <c r="G15" s="987"/>
      <c r="H15" s="988"/>
      <c r="I15" s="988"/>
      <c r="J15" s="988"/>
      <c r="K15" s="988"/>
      <c r="L15" s="988"/>
      <c r="M15" s="988"/>
    </row>
    <row r="31" spans="8:13">
      <c r="H31" s="988"/>
      <c r="I31" s="988"/>
      <c r="J31" s="988"/>
      <c r="K31" s="988"/>
      <c r="L31" s="988"/>
      <c r="M31" s="988"/>
    </row>
    <row r="32" spans="8:13">
      <c r="H32" s="988"/>
      <c r="I32" s="988"/>
      <c r="J32" s="988"/>
      <c r="K32" s="988"/>
      <c r="L32" s="988"/>
      <c r="M32" s="988"/>
    </row>
    <row r="33" spans="8:13">
      <c r="H33" s="988"/>
      <c r="I33" s="988"/>
      <c r="J33" s="988"/>
      <c r="K33" s="988"/>
      <c r="L33" s="988"/>
      <c r="M33" s="988"/>
    </row>
    <row r="34" spans="8:13">
      <c r="H34" s="988"/>
      <c r="I34" s="988"/>
      <c r="J34" s="988"/>
      <c r="K34" s="988"/>
      <c r="L34" s="988"/>
      <c r="M34" s="988"/>
    </row>
    <row r="35" spans="8:13">
      <c r="H35" s="988"/>
      <c r="I35" s="988"/>
      <c r="J35" s="988"/>
      <c r="K35" s="988"/>
      <c r="L35" s="988"/>
      <c r="M35" s="988"/>
    </row>
  </sheetData>
  <printOptions horizontalCentered="1" verticalCentered="1"/>
  <pageMargins left="0.5" right="0.5" top="1.75" bottom="0.5" header="0" footer="0"/>
  <pageSetup scale="58" fitToHeight="0" orientation="landscape" cellComments="atEnd" verticalDpi="0" r:id="rId1"/>
  <customProperties>
    <customPr name="GUID" r:id="rId2"/>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879ED-4C7C-4C76-BDA2-30BFE20281C1}">
  <sheetPr codeName="Sheet23">
    <pageSetUpPr fitToPage="1"/>
  </sheetPr>
  <dimension ref="A1:M35"/>
  <sheetViews>
    <sheetView workbookViewId="0">
      <selection activeCell="M6" sqref="B2:M6"/>
    </sheetView>
  </sheetViews>
  <sheetFormatPr defaultColWidth="8.85546875" defaultRowHeight="12.75"/>
  <cols>
    <col min="1" max="2" width="25.140625" customWidth="1"/>
    <col min="5" max="5" width="16.140625" bestFit="1" customWidth="1"/>
    <col min="6" max="6" width="19" bestFit="1" customWidth="1"/>
    <col min="7" max="7" width="17.42578125" bestFit="1" customWidth="1"/>
    <col min="8" max="8" width="16" bestFit="1" customWidth="1"/>
    <col min="9" max="9" width="18.85546875" bestFit="1" customWidth="1"/>
    <col min="10" max="10" width="17.42578125" bestFit="1" customWidth="1"/>
    <col min="11" max="11" width="15.140625" bestFit="1" customWidth="1"/>
    <col min="12" max="12" width="18" bestFit="1" customWidth="1"/>
    <col min="13" max="13" width="16.42578125" bestFit="1" customWidth="1"/>
  </cols>
  <sheetData>
    <row r="1" spans="1:13">
      <c r="A1" t="s">
        <v>987</v>
      </c>
      <c r="B1" t="s">
        <v>1671</v>
      </c>
      <c r="C1" t="s">
        <v>1666</v>
      </c>
      <c r="D1" t="s">
        <v>1667</v>
      </c>
      <c r="E1" t="s">
        <v>1668</v>
      </c>
      <c r="F1" t="s">
        <v>1669</v>
      </c>
      <c r="G1" t="s">
        <v>1670</v>
      </c>
      <c r="H1" t="str">
        <f>E1 &amp; " /Unit"</f>
        <v>Current Rent /Unit</v>
      </c>
      <c r="I1" t="str">
        <f t="shared" ref="I1:J1" si="0">F1 &amp; " /Unit"</f>
        <v>Scheduled Rent /Unit</v>
      </c>
      <c r="J1" t="str">
        <f t="shared" si="0"/>
        <v>Potential Rent /Unit</v>
      </c>
      <c r="K1" t="str">
        <f>E1&amp; " /SF"</f>
        <v>Current Rent /SF</v>
      </c>
      <c r="L1" t="str">
        <f t="shared" ref="L1:M1" si="1">F1&amp; " /SF"</f>
        <v>Scheduled Rent /SF</v>
      </c>
      <c r="M1" t="str">
        <f t="shared" si="1"/>
        <v>Potential Rent /SF</v>
      </c>
    </row>
    <row r="2" spans="1:13">
      <c r="A2" t="str" cm="1">
        <f t="array" ref="A2:B5">_xlfn.UNIQUE(_xlfn._xlws.FILTER('Rent Roll Detail Input'!B12:C36,'Rent Roll Detail Input'!C12:C36&lt;&gt;0))</f>
        <v>1 Bed / 1 Bath</v>
      </c>
      <c r="B2" t="str">
        <v>1 Bed / 1 Bath</v>
      </c>
      <c r="C2">
        <f>COUNTIF('Rent Roll Detail Input'!$H$12:$H$999,'Rent Roll Detail Summary'!B2)</f>
        <v>2</v>
      </c>
      <c r="D2">
        <f>SUMIF('Rent Roll Detail Input'!$H$12:$H$999, 'Rent Roll Detail Summary'!$B2,'Rent Roll Detail Input'!I$12:I$999)</f>
        <v>1300</v>
      </c>
      <c r="E2" s="987">
        <f>SUMIF('Rent Roll Detail Input'!$H$12:$H$999, 'Rent Roll Detail Summary'!$B2,'Rent Roll Detail Input'!J$12:J$999)</f>
        <v>3845</v>
      </c>
      <c r="F2" s="987">
        <f>SUMIF('Rent Roll Detail Input'!$H$12:$H$999, 'Rent Roll Detail Summary'!$B2,'Rent Roll Detail Input'!K$12:K$999)</f>
        <v>3845</v>
      </c>
      <c r="G2" s="987">
        <f>SUMIF('Rent Roll Detail Input'!$H$12:$H$999, 'Rent Roll Detail Summary'!$B2,'Rent Roll Detail Input'!L$12:L$999)</f>
        <v>4590</v>
      </c>
      <c r="H2" s="988">
        <f t="shared" ref="H2:H15" si="2">IFERROR(E2/$C2,)</f>
        <v>1922.5</v>
      </c>
      <c r="I2" s="988">
        <f t="shared" ref="I2:I15" si="3">IFERROR(F2/$C2,)</f>
        <v>1922.5</v>
      </c>
      <c r="J2" s="988">
        <f t="shared" ref="J2:J15" si="4">IFERROR(G2/$C2,)</f>
        <v>2295</v>
      </c>
      <c r="K2" s="988">
        <f t="shared" ref="K2:K15" si="5">IFERROR(E2/$D2,)</f>
        <v>2.9576923076923078</v>
      </c>
      <c r="L2" s="988">
        <f t="shared" ref="L2:L15" si="6">IFERROR(F2/$D2,)</f>
        <v>2.9576923076923078</v>
      </c>
      <c r="M2" s="988">
        <f t="shared" ref="M2:M15" si="7">IFERROR(G2/$D2,)</f>
        <v>3.5307692307692307</v>
      </c>
    </row>
    <row r="3" spans="1:13">
      <c r="A3" t="str">
        <v>2 Bed / 1 Bath</v>
      </c>
      <c r="B3" t="str">
        <v>2 Bed / 1 Bath</v>
      </c>
      <c r="C3">
        <f>COUNTIF('Rent Roll Detail Input'!$H$12:$H$999,'Rent Roll Detail Summary'!B3)</f>
        <v>22</v>
      </c>
      <c r="D3">
        <f>SUMIF('Rent Roll Detail Input'!$H$12:$H$999, 'Rent Roll Detail Summary'!$B3,'Rent Roll Detail Input'!I$12:I$999)</f>
        <v>16500</v>
      </c>
      <c r="E3" s="987">
        <f>SUMIF('Rent Roll Detail Input'!$H$12:$H$999, 'Rent Roll Detail Summary'!$B3,'Rent Roll Detail Input'!J$12:J$999)</f>
        <v>47584</v>
      </c>
      <c r="F3" s="987">
        <f>SUMIF('Rent Roll Detail Input'!$H$12:$H$999, 'Rent Roll Detail Summary'!$B3,'Rent Roll Detail Input'!K$12:K$999)</f>
        <v>47584</v>
      </c>
      <c r="G3" s="987">
        <f>SUMIF('Rent Roll Detail Input'!$H$12:$H$999, 'Rent Roll Detail Summary'!$B3,'Rent Roll Detail Input'!L$12:L$999)</f>
        <v>58300</v>
      </c>
      <c r="H3" s="988">
        <f t="shared" si="2"/>
        <v>2162.909090909091</v>
      </c>
      <c r="I3" s="988">
        <f t="shared" si="3"/>
        <v>2162.909090909091</v>
      </c>
      <c r="J3" s="988">
        <f t="shared" si="4"/>
        <v>2650</v>
      </c>
      <c r="K3" s="988">
        <f t="shared" si="5"/>
        <v>2.8838787878787877</v>
      </c>
      <c r="L3" s="988">
        <f t="shared" si="6"/>
        <v>2.8838787878787877</v>
      </c>
      <c r="M3" s="988">
        <f t="shared" si="7"/>
        <v>3.5333333333333332</v>
      </c>
    </row>
    <row r="4" spans="1:13">
      <c r="A4" t="str">
        <v>2 Bed / 1 Bath</v>
      </c>
      <c r="B4" t="str">
        <v>2 Bed / 1 Bath (vacant)</v>
      </c>
      <c r="C4">
        <f>COUNTIF('Rent Roll Detail Input'!$H$12:$H$999,'Rent Roll Detail Summary'!B4)</f>
        <v>2</v>
      </c>
      <c r="D4">
        <f>SUMIF('Rent Roll Detail Input'!$H$12:$H$999, 'Rent Roll Detail Summary'!$B4,'Rent Roll Detail Input'!I$12:I$999)</f>
        <v>1500</v>
      </c>
      <c r="E4" s="987">
        <f>SUMIF('Rent Roll Detail Input'!$H$12:$H$999, 'Rent Roll Detail Summary'!$B4,'Rent Roll Detail Input'!J$12:J$999)</f>
        <v>0</v>
      </c>
      <c r="F4" s="987">
        <f>SUMIF('Rent Roll Detail Input'!$H$12:$H$999, 'Rent Roll Detail Summary'!$B4,'Rent Roll Detail Input'!K$12:K$999)</f>
        <v>5300</v>
      </c>
      <c r="G4" s="987">
        <f>SUMIF('Rent Roll Detail Input'!$H$12:$H$999, 'Rent Roll Detail Summary'!$B4,'Rent Roll Detail Input'!L$12:L$999)</f>
        <v>5300</v>
      </c>
      <c r="H4" s="988">
        <f t="shared" si="2"/>
        <v>0</v>
      </c>
      <c r="I4" s="988">
        <f t="shared" si="3"/>
        <v>2650</v>
      </c>
      <c r="J4" s="988">
        <f t="shared" si="4"/>
        <v>2650</v>
      </c>
      <c r="K4" s="988">
        <f t="shared" si="5"/>
        <v>0</v>
      </c>
      <c r="L4" s="988">
        <f t="shared" si="6"/>
        <v>3.5333333333333332</v>
      </c>
      <c r="M4" s="988">
        <f t="shared" si="7"/>
        <v>3.5333333333333332</v>
      </c>
    </row>
    <row r="5" spans="1:13">
      <c r="A5" t="str">
        <v>4 Bed / 3 Bath House</v>
      </c>
      <c r="B5" t="str">
        <v>4 Bed / 3 Bath House</v>
      </c>
      <c r="C5">
        <f>COUNTIF('Rent Roll Detail Input'!$H$12:$H$999,'Rent Roll Detail Summary'!B5)</f>
        <v>1</v>
      </c>
      <c r="D5">
        <f>SUMIF('Rent Roll Detail Input'!$H$12:$H$999, 'Rent Roll Detail Summary'!$B5,'Rent Roll Detail Input'!I$12:I$999)</f>
        <v>2500</v>
      </c>
      <c r="E5" s="987">
        <f>SUMIF('Rent Roll Detail Input'!$H$12:$H$999, 'Rent Roll Detail Summary'!$B5,'Rent Roll Detail Input'!J$12:J$999)</f>
        <v>0</v>
      </c>
      <c r="F5" s="987">
        <f>SUMIF('Rent Roll Detail Input'!$H$12:$H$999, 'Rent Roll Detail Summary'!$B5,'Rent Roll Detail Input'!K$12:K$999)</f>
        <v>5000</v>
      </c>
      <c r="G5" s="987">
        <f>SUMIF('Rent Roll Detail Input'!$H$12:$H$999, 'Rent Roll Detail Summary'!$B5,'Rent Roll Detail Input'!L$12:L$999)</f>
        <v>5000</v>
      </c>
      <c r="H5" s="988">
        <f t="shared" si="2"/>
        <v>0</v>
      </c>
      <c r="I5" s="988">
        <f t="shared" si="3"/>
        <v>5000</v>
      </c>
      <c r="J5" s="988">
        <f t="shared" si="4"/>
        <v>5000</v>
      </c>
      <c r="K5" s="988">
        <f t="shared" si="5"/>
        <v>0</v>
      </c>
      <c r="L5" s="988">
        <f t="shared" si="6"/>
        <v>2</v>
      </c>
      <c r="M5" s="988">
        <f t="shared" si="7"/>
        <v>2</v>
      </c>
    </row>
    <row r="6" spans="1:13">
      <c r="C6">
        <f>COUNTIF('Rent Roll Detail Input'!$H$12:$H$999,'Rent Roll Detail Summary'!B6)</f>
        <v>0</v>
      </c>
      <c r="D6">
        <f>SUMIF('Rent Roll Detail Input'!$H$12:$H$999, 'Rent Roll Detail Summary'!$B6,'Rent Roll Detail Input'!I$12:I$999)</f>
        <v>0</v>
      </c>
      <c r="E6" s="987">
        <f>SUMIF('Rent Roll Detail Input'!$H$12:$H$999, 'Rent Roll Detail Summary'!$B6,'Rent Roll Detail Input'!J$12:J$999)</f>
        <v>0</v>
      </c>
      <c r="F6" s="987">
        <f>SUMIF('Rent Roll Detail Input'!$H$12:$H$999, 'Rent Roll Detail Summary'!$B6,'Rent Roll Detail Input'!K$12:K$999)</f>
        <v>0</v>
      </c>
      <c r="G6" s="987">
        <f>SUMIF('Rent Roll Detail Input'!$H$12:$H$999, 'Rent Roll Detail Summary'!$B6,'Rent Roll Detail Input'!L$12:L$999)</f>
        <v>0</v>
      </c>
      <c r="H6" s="988">
        <f t="shared" si="2"/>
        <v>0</v>
      </c>
      <c r="I6" s="988">
        <f t="shared" si="3"/>
        <v>0</v>
      </c>
      <c r="J6" s="988">
        <f t="shared" si="4"/>
        <v>0</v>
      </c>
      <c r="K6" s="988">
        <f t="shared" si="5"/>
        <v>0</v>
      </c>
      <c r="L6" s="988">
        <f t="shared" si="6"/>
        <v>0</v>
      </c>
      <c r="M6" s="988">
        <f t="shared" si="7"/>
        <v>0</v>
      </c>
    </row>
    <row r="7" spans="1:13">
      <c r="C7">
        <f>COUNTIF('Rent Roll Detail Input'!$H$12:$H$999,'Rent Roll Detail Summary'!B7)</f>
        <v>0</v>
      </c>
      <c r="D7">
        <f>SUMIF('Rent Roll Detail Input'!$H$12:$H$999, 'Rent Roll Detail Summary'!$B7,'Rent Roll Detail Input'!I$12:I$999)</f>
        <v>0</v>
      </c>
      <c r="E7" s="987">
        <f>SUMIF('Rent Roll Detail Input'!$H$12:$H$999, 'Rent Roll Detail Summary'!$B7,'Rent Roll Detail Input'!J$12:J$999)</f>
        <v>0</v>
      </c>
      <c r="F7" s="987">
        <f>SUMIF('Rent Roll Detail Input'!$H$12:$H$999, 'Rent Roll Detail Summary'!$B7,'Rent Roll Detail Input'!K$12:K$999)</f>
        <v>0</v>
      </c>
      <c r="G7" s="987">
        <f>SUMIF('Rent Roll Detail Input'!$H$12:$H$999, 'Rent Roll Detail Summary'!$B7,'Rent Roll Detail Input'!L$12:L$999)</f>
        <v>0</v>
      </c>
      <c r="H7" s="988">
        <f t="shared" si="2"/>
        <v>0</v>
      </c>
      <c r="I7" s="988">
        <f t="shared" si="3"/>
        <v>0</v>
      </c>
      <c r="J7" s="988">
        <f t="shared" si="4"/>
        <v>0</v>
      </c>
      <c r="K7" s="988">
        <f t="shared" si="5"/>
        <v>0</v>
      </c>
      <c r="L7" s="988">
        <f t="shared" si="6"/>
        <v>0</v>
      </c>
      <c r="M7" s="988">
        <f t="shared" si="7"/>
        <v>0</v>
      </c>
    </row>
    <row r="8" spans="1:13">
      <c r="C8">
        <f>COUNTIF('Rent Roll Detail Input'!$H$12:$H$999,'Rent Roll Detail Summary'!B8)</f>
        <v>0</v>
      </c>
      <c r="D8">
        <f>SUMIF('Rent Roll Detail Input'!$H$12:$H$999, 'Rent Roll Detail Summary'!$B8,'Rent Roll Detail Input'!I$12:I$999)</f>
        <v>0</v>
      </c>
      <c r="E8" s="987">
        <f>SUMIF('Rent Roll Detail Input'!$H$12:$H$999, 'Rent Roll Detail Summary'!$B8,'Rent Roll Detail Input'!J$12:J$999)</f>
        <v>0</v>
      </c>
      <c r="F8" s="987">
        <f>SUMIF('Rent Roll Detail Input'!$H$12:$H$999, 'Rent Roll Detail Summary'!$B8,'Rent Roll Detail Input'!K$12:K$999)</f>
        <v>0</v>
      </c>
      <c r="G8" s="987">
        <f>SUMIF('Rent Roll Detail Input'!$H$12:$H$999, 'Rent Roll Detail Summary'!$B8,'Rent Roll Detail Input'!L$12:L$999)</f>
        <v>0</v>
      </c>
      <c r="H8" s="988">
        <f t="shared" si="2"/>
        <v>0</v>
      </c>
      <c r="I8" s="988">
        <f t="shared" si="3"/>
        <v>0</v>
      </c>
      <c r="J8" s="988">
        <f t="shared" si="4"/>
        <v>0</v>
      </c>
      <c r="K8" s="988">
        <f t="shared" si="5"/>
        <v>0</v>
      </c>
      <c r="L8" s="988">
        <f t="shared" si="6"/>
        <v>0</v>
      </c>
      <c r="M8" s="988">
        <f t="shared" si="7"/>
        <v>0</v>
      </c>
    </row>
    <row r="9" spans="1:13">
      <c r="C9">
        <f>COUNTIF('Rent Roll Detail Input'!$H$12:$H$999,'Rent Roll Detail Summary'!B9)</f>
        <v>0</v>
      </c>
      <c r="D9">
        <f>SUMIF('Rent Roll Detail Input'!$H$12:$H$999, 'Rent Roll Detail Summary'!$B9,'Rent Roll Detail Input'!I$12:I$999)</f>
        <v>0</v>
      </c>
      <c r="E9" s="987">
        <f>SUMIF('Rent Roll Detail Input'!$H$12:$H$999, 'Rent Roll Detail Summary'!$B9,'Rent Roll Detail Input'!J$12:J$999)</f>
        <v>0</v>
      </c>
      <c r="F9" s="987">
        <f>SUMIF('Rent Roll Detail Input'!$H$12:$H$999, 'Rent Roll Detail Summary'!$B9,'Rent Roll Detail Input'!K$12:K$999)</f>
        <v>0</v>
      </c>
      <c r="G9" s="987">
        <f>SUMIF('Rent Roll Detail Input'!$H$12:$H$999, 'Rent Roll Detail Summary'!$B9,'Rent Roll Detail Input'!L$12:L$999)</f>
        <v>0</v>
      </c>
      <c r="H9" s="988">
        <f t="shared" si="2"/>
        <v>0</v>
      </c>
      <c r="I9" s="988">
        <f t="shared" si="3"/>
        <v>0</v>
      </c>
      <c r="J9" s="988">
        <f t="shared" si="4"/>
        <v>0</v>
      </c>
      <c r="K9" s="988">
        <f t="shared" si="5"/>
        <v>0</v>
      </c>
      <c r="L9" s="988">
        <f t="shared" si="6"/>
        <v>0</v>
      </c>
      <c r="M9" s="988">
        <f t="shared" si="7"/>
        <v>0</v>
      </c>
    </row>
    <row r="10" spans="1:13">
      <c r="C10">
        <f>COUNTIF('Rent Roll Detail Input'!$H$12:$H$999,'Rent Roll Detail Summary'!B10)</f>
        <v>0</v>
      </c>
      <c r="D10">
        <f>SUMIF('Rent Roll Detail Input'!$H$12:$H$999, 'Rent Roll Detail Summary'!$B10,'Rent Roll Detail Input'!I$12:I$999)</f>
        <v>0</v>
      </c>
      <c r="E10" s="987">
        <f>SUMIF('Rent Roll Detail Input'!$H$12:$H$999, 'Rent Roll Detail Summary'!$B10,'Rent Roll Detail Input'!J$12:J$999)</f>
        <v>0</v>
      </c>
      <c r="F10" s="987">
        <f>SUMIF('Rent Roll Detail Input'!$H$12:$H$999, 'Rent Roll Detail Summary'!$B10,'Rent Roll Detail Input'!K$12:K$999)</f>
        <v>0</v>
      </c>
      <c r="G10" s="987">
        <f>SUMIF('Rent Roll Detail Input'!$H$12:$H$999, 'Rent Roll Detail Summary'!$B10,'Rent Roll Detail Input'!L$12:L$999)</f>
        <v>0</v>
      </c>
      <c r="H10" s="988">
        <f t="shared" si="2"/>
        <v>0</v>
      </c>
      <c r="I10" s="988">
        <f t="shared" si="3"/>
        <v>0</v>
      </c>
      <c r="J10" s="988">
        <f t="shared" si="4"/>
        <v>0</v>
      </c>
      <c r="K10" s="988">
        <f t="shared" si="5"/>
        <v>0</v>
      </c>
      <c r="L10" s="988">
        <f t="shared" si="6"/>
        <v>0</v>
      </c>
      <c r="M10" s="988">
        <f t="shared" si="7"/>
        <v>0</v>
      </c>
    </row>
    <row r="11" spans="1:13">
      <c r="C11">
        <f>COUNTIF('Rent Roll Detail Input'!$H$12:$H$999,'Rent Roll Detail Summary'!B11)</f>
        <v>0</v>
      </c>
      <c r="D11">
        <f>SUMIF('Rent Roll Detail Input'!$H$12:$H$999, 'Rent Roll Detail Summary'!$B11,'Rent Roll Detail Input'!I$12:I$999)</f>
        <v>0</v>
      </c>
      <c r="E11" s="987">
        <f>SUMIF('Rent Roll Detail Input'!$H$12:$H$999, 'Rent Roll Detail Summary'!$B11,'Rent Roll Detail Input'!J$12:J$999)</f>
        <v>0</v>
      </c>
      <c r="F11" s="987">
        <f>SUMIF('Rent Roll Detail Input'!$H$12:$H$999, 'Rent Roll Detail Summary'!$B11,'Rent Roll Detail Input'!K$12:K$999)</f>
        <v>0</v>
      </c>
      <c r="G11" s="987">
        <f>SUMIF('Rent Roll Detail Input'!$H$12:$H$999, 'Rent Roll Detail Summary'!$B11,'Rent Roll Detail Input'!L$12:L$999)</f>
        <v>0</v>
      </c>
      <c r="H11" s="988">
        <f t="shared" si="2"/>
        <v>0</v>
      </c>
      <c r="I11" s="988">
        <f t="shared" si="3"/>
        <v>0</v>
      </c>
      <c r="J11" s="988">
        <f t="shared" si="4"/>
        <v>0</v>
      </c>
      <c r="K11" s="988">
        <f t="shared" si="5"/>
        <v>0</v>
      </c>
      <c r="L11" s="988">
        <f t="shared" si="6"/>
        <v>0</v>
      </c>
      <c r="M11" s="988">
        <f t="shared" si="7"/>
        <v>0</v>
      </c>
    </row>
    <row r="12" spans="1:13">
      <c r="C12">
        <f>COUNTIF('Rent Roll Detail Input'!$H$12:$H$999,'Rent Roll Detail Summary'!B12)</f>
        <v>0</v>
      </c>
      <c r="D12">
        <f>SUMIF('Rent Roll Detail Input'!$H$12:$H$999, 'Rent Roll Detail Summary'!$B12,'Rent Roll Detail Input'!I$12:I$999)</f>
        <v>0</v>
      </c>
      <c r="E12" s="987">
        <f>SUMIF('Rent Roll Detail Input'!$H$12:$H$999, 'Rent Roll Detail Summary'!$B12,'Rent Roll Detail Input'!J$12:J$999)</f>
        <v>0</v>
      </c>
      <c r="F12" s="987">
        <f>SUMIF('Rent Roll Detail Input'!$H$12:$H$999, 'Rent Roll Detail Summary'!$B12,'Rent Roll Detail Input'!K$12:K$999)</f>
        <v>0</v>
      </c>
      <c r="G12" s="987">
        <f>SUMIF('Rent Roll Detail Input'!$H$12:$H$999, 'Rent Roll Detail Summary'!$B12,'Rent Roll Detail Input'!L$12:L$999)</f>
        <v>0</v>
      </c>
      <c r="H12" s="988">
        <f t="shared" si="2"/>
        <v>0</v>
      </c>
      <c r="I12" s="988">
        <f t="shared" si="3"/>
        <v>0</v>
      </c>
      <c r="J12" s="988">
        <f t="shared" si="4"/>
        <v>0</v>
      </c>
      <c r="K12" s="988">
        <f t="shared" si="5"/>
        <v>0</v>
      </c>
      <c r="L12" s="988">
        <f t="shared" si="6"/>
        <v>0</v>
      </c>
      <c r="M12" s="988">
        <f t="shared" si="7"/>
        <v>0</v>
      </c>
    </row>
    <row r="13" spans="1:13">
      <c r="C13">
        <f>COUNTIF('Rent Roll Detail Input'!$H$12:$H$999,'Rent Roll Detail Summary'!B13)</f>
        <v>0</v>
      </c>
      <c r="D13">
        <f>SUMIF('Rent Roll Detail Input'!$H$12:$H$999, 'Rent Roll Detail Summary'!$B13,'Rent Roll Detail Input'!I$12:I$999)</f>
        <v>0</v>
      </c>
      <c r="E13" s="987">
        <f>SUMIF('Rent Roll Detail Input'!$H$12:$H$999, 'Rent Roll Detail Summary'!$B13,'Rent Roll Detail Input'!J$12:J$999)</f>
        <v>0</v>
      </c>
      <c r="F13" s="987">
        <f>SUMIF('Rent Roll Detail Input'!$H$12:$H$999, 'Rent Roll Detail Summary'!$B13,'Rent Roll Detail Input'!K$12:K$999)</f>
        <v>0</v>
      </c>
      <c r="G13" s="987">
        <f>SUMIF('Rent Roll Detail Input'!$H$12:$H$999, 'Rent Roll Detail Summary'!$B13,'Rent Roll Detail Input'!L$12:L$999)</f>
        <v>0</v>
      </c>
      <c r="H13" s="988">
        <f t="shared" si="2"/>
        <v>0</v>
      </c>
      <c r="I13" s="988">
        <f t="shared" si="3"/>
        <v>0</v>
      </c>
      <c r="J13" s="988">
        <f t="shared" si="4"/>
        <v>0</v>
      </c>
      <c r="K13" s="988">
        <f t="shared" si="5"/>
        <v>0</v>
      </c>
      <c r="L13" s="988">
        <f t="shared" si="6"/>
        <v>0</v>
      </c>
      <c r="M13" s="988">
        <f t="shared" si="7"/>
        <v>0</v>
      </c>
    </row>
    <row r="14" spans="1:13">
      <c r="C14">
        <f>COUNTIF('Rent Roll Detail Input'!$H$12:$H$999,'Rent Roll Detail Summary'!B14)</f>
        <v>0</v>
      </c>
      <c r="D14">
        <f>SUMIF('Rent Roll Detail Input'!$H$12:$H$999, 'Rent Roll Detail Summary'!$B14,'Rent Roll Detail Input'!I$12:I$999)</f>
        <v>0</v>
      </c>
      <c r="E14" s="987">
        <f>SUMIF('Rent Roll Detail Input'!$H$12:$H$999, 'Rent Roll Detail Summary'!$B14,'Rent Roll Detail Input'!J$12:J$999)</f>
        <v>0</v>
      </c>
      <c r="F14" s="987">
        <f>SUMIF('Rent Roll Detail Input'!$H$12:$H$999, 'Rent Roll Detail Summary'!$B14,'Rent Roll Detail Input'!K$12:K$999)</f>
        <v>0</v>
      </c>
      <c r="G14" s="987">
        <f>SUMIF('Rent Roll Detail Input'!$H$12:$H$999, 'Rent Roll Detail Summary'!$B14,'Rent Roll Detail Input'!L$12:L$999)</f>
        <v>0</v>
      </c>
      <c r="H14" s="988">
        <f t="shared" si="2"/>
        <v>0</v>
      </c>
      <c r="I14" s="988">
        <f t="shared" si="3"/>
        <v>0</v>
      </c>
      <c r="J14" s="988">
        <f t="shared" si="4"/>
        <v>0</v>
      </c>
      <c r="K14" s="988">
        <f t="shared" si="5"/>
        <v>0</v>
      </c>
      <c r="L14" s="988">
        <f t="shared" si="6"/>
        <v>0</v>
      </c>
      <c r="M14" s="988">
        <f t="shared" si="7"/>
        <v>0</v>
      </c>
    </row>
    <row r="15" spans="1:13">
      <c r="C15">
        <f>COUNTIF('Rent Roll Detail Input'!$H$12:$H$999,'Rent Roll Detail Summary'!B15)</f>
        <v>0</v>
      </c>
      <c r="D15">
        <f>SUMIF('Rent Roll Detail Input'!$H$12:$H$999, 'Rent Roll Detail Summary'!$B15,'Rent Roll Detail Input'!I$12:I$999)</f>
        <v>0</v>
      </c>
      <c r="E15" s="987">
        <f>SUMIF('Rent Roll Detail Input'!$H$12:$H$999, 'Rent Roll Detail Summary'!$B15,'Rent Roll Detail Input'!J$12:J$999)</f>
        <v>0</v>
      </c>
      <c r="F15" s="987">
        <f>SUMIF('Rent Roll Detail Input'!$H$12:$H$999, 'Rent Roll Detail Summary'!$B15,'Rent Roll Detail Input'!K$12:K$999)</f>
        <v>0</v>
      </c>
      <c r="G15" s="987">
        <f>SUMIF('Rent Roll Detail Input'!$H$12:$H$999, 'Rent Roll Detail Summary'!$B15,'Rent Roll Detail Input'!L$12:L$999)</f>
        <v>0</v>
      </c>
      <c r="H15" s="988">
        <f t="shared" si="2"/>
        <v>0</v>
      </c>
      <c r="I15" s="988">
        <f t="shared" si="3"/>
        <v>0</v>
      </c>
      <c r="J15" s="988">
        <f t="shared" si="4"/>
        <v>0</v>
      </c>
      <c r="K15" s="988">
        <f t="shared" si="5"/>
        <v>0</v>
      </c>
      <c r="L15" s="988">
        <f t="shared" si="6"/>
        <v>0</v>
      </c>
      <c r="M15" s="988">
        <f t="shared" si="7"/>
        <v>0</v>
      </c>
    </row>
    <row r="30" spans="2:13">
      <c r="B30" t="s">
        <v>987</v>
      </c>
      <c r="C30" t="s">
        <v>1666</v>
      </c>
      <c r="D30" t="s">
        <v>1667</v>
      </c>
      <c r="E30" t="s">
        <v>1668</v>
      </c>
      <c r="F30" t="s">
        <v>1669</v>
      </c>
      <c r="G30" t="s">
        <v>1670</v>
      </c>
      <c r="H30" t="s">
        <v>1672</v>
      </c>
      <c r="I30" t="s">
        <v>1673</v>
      </c>
      <c r="J30" t="s">
        <v>1674</v>
      </c>
      <c r="K30" t="s">
        <v>1675</v>
      </c>
      <c r="L30" t="s">
        <v>1676</v>
      </c>
      <c r="M30" t="s">
        <v>1677</v>
      </c>
    </row>
    <row r="31" spans="2:13">
      <c r="B31" t="str" cm="1">
        <f t="array" ref="B31:B33">_xlfn.UNIQUE(_xlfn._xlws.FILTER('Rent Roll Detail Input'!B12:B36, 'Rent Roll Detail Input'!B12:B36&lt;&gt;0))</f>
        <v>1 Bed / 1 Bath</v>
      </c>
      <c r="C31">
        <f>SUMIF($A$2:$A$15,$B31,C$2:C$15)</f>
        <v>2</v>
      </c>
      <c r="D31">
        <f>SUMIF($A$2:$A$15,$B31,D$2:D$15)</f>
        <v>1300</v>
      </c>
      <c r="E31">
        <f t="shared" ref="E31:G31" si="8">SUMIF($A$2:$A$15,$B31,E$2:E$15)</f>
        <v>3845</v>
      </c>
      <c r="F31">
        <f t="shared" si="8"/>
        <v>3845</v>
      </c>
      <c r="G31">
        <f t="shared" si="8"/>
        <v>4590</v>
      </c>
      <c r="H31" s="988">
        <f t="shared" ref="H31:J35" si="9">IFERROR(E31/$C31,)</f>
        <v>1922.5</v>
      </c>
      <c r="I31" s="988">
        <f t="shared" si="9"/>
        <v>1922.5</v>
      </c>
      <c r="J31" s="988">
        <f t="shared" si="9"/>
        <v>2295</v>
      </c>
      <c r="K31" s="988">
        <f t="shared" ref="K31:M35" si="10">IFERROR(E31/$D31,)</f>
        <v>2.9576923076923078</v>
      </c>
      <c r="L31" s="988">
        <f t="shared" si="10"/>
        <v>2.9576923076923078</v>
      </c>
      <c r="M31" s="988">
        <f t="shared" si="10"/>
        <v>3.5307692307692307</v>
      </c>
    </row>
    <row r="32" spans="2:13">
      <c r="B32" t="str">
        <v>2 Bed / 1 Bath</v>
      </c>
      <c r="C32">
        <f t="shared" ref="C32:G35" si="11">SUMIF($A$2:$A$15,$B32,C$2:C$15)</f>
        <v>24</v>
      </c>
      <c r="D32">
        <f t="shared" si="11"/>
        <v>18000</v>
      </c>
      <c r="E32">
        <f t="shared" si="11"/>
        <v>47584</v>
      </c>
      <c r="F32">
        <f t="shared" si="11"/>
        <v>52884</v>
      </c>
      <c r="G32">
        <f t="shared" si="11"/>
        <v>63600</v>
      </c>
      <c r="H32" s="988">
        <f t="shared" si="9"/>
        <v>1982.6666666666667</v>
      </c>
      <c r="I32" s="988">
        <f t="shared" si="9"/>
        <v>2203.5</v>
      </c>
      <c r="J32" s="988">
        <f t="shared" si="9"/>
        <v>2650</v>
      </c>
      <c r="K32" s="988">
        <f t="shared" si="10"/>
        <v>2.6435555555555554</v>
      </c>
      <c r="L32" s="988">
        <f t="shared" si="10"/>
        <v>2.9380000000000002</v>
      </c>
      <c r="M32" s="988">
        <f t="shared" si="10"/>
        <v>3.5333333333333332</v>
      </c>
    </row>
    <row r="33" spans="2:13">
      <c r="B33" t="str">
        <v>4 Bed / 3 Bath House</v>
      </c>
      <c r="C33">
        <f t="shared" si="11"/>
        <v>1</v>
      </c>
      <c r="D33">
        <f t="shared" si="11"/>
        <v>2500</v>
      </c>
      <c r="E33">
        <f t="shared" si="11"/>
        <v>0</v>
      </c>
      <c r="F33">
        <f t="shared" si="11"/>
        <v>5000</v>
      </c>
      <c r="G33">
        <f t="shared" si="11"/>
        <v>5000</v>
      </c>
      <c r="H33" s="988">
        <f t="shared" si="9"/>
        <v>0</v>
      </c>
      <c r="I33" s="988">
        <f t="shared" si="9"/>
        <v>5000</v>
      </c>
      <c r="J33" s="988">
        <f t="shared" si="9"/>
        <v>5000</v>
      </c>
      <c r="K33" s="988">
        <f t="shared" si="10"/>
        <v>0</v>
      </c>
      <c r="L33" s="988">
        <f t="shared" si="10"/>
        <v>2</v>
      </c>
      <c r="M33" s="988">
        <f t="shared" si="10"/>
        <v>2</v>
      </c>
    </row>
    <row r="34" spans="2:13">
      <c r="C34">
        <f t="shared" si="11"/>
        <v>0</v>
      </c>
      <c r="D34">
        <f t="shared" si="11"/>
        <v>0</v>
      </c>
      <c r="E34">
        <f t="shared" si="11"/>
        <v>0</v>
      </c>
      <c r="F34">
        <f t="shared" si="11"/>
        <v>0</v>
      </c>
      <c r="G34">
        <f t="shared" si="11"/>
        <v>0</v>
      </c>
      <c r="H34" s="988">
        <f t="shared" si="9"/>
        <v>0</v>
      </c>
      <c r="I34" s="988">
        <f t="shared" si="9"/>
        <v>0</v>
      </c>
      <c r="J34" s="988">
        <f t="shared" si="9"/>
        <v>0</v>
      </c>
      <c r="K34" s="988">
        <f t="shared" si="10"/>
        <v>0</v>
      </c>
      <c r="L34" s="988">
        <f t="shared" si="10"/>
        <v>0</v>
      </c>
      <c r="M34" s="988">
        <f t="shared" si="10"/>
        <v>0</v>
      </c>
    </row>
    <row r="35" spans="2:13">
      <c r="C35">
        <f t="shared" si="11"/>
        <v>0</v>
      </c>
      <c r="D35">
        <f t="shared" si="11"/>
        <v>0</v>
      </c>
      <c r="E35">
        <f t="shared" si="11"/>
        <v>0</v>
      </c>
      <c r="F35">
        <f t="shared" si="11"/>
        <v>0</v>
      </c>
      <c r="G35">
        <f t="shared" si="11"/>
        <v>0</v>
      </c>
      <c r="H35" s="988">
        <f t="shared" si="9"/>
        <v>0</v>
      </c>
      <c r="I35" s="988">
        <f t="shared" si="9"/>
        <v>0</v>
      </c>
      <c r="J35" s="988">
        <f t="shared" si="9"/>
        <v>0</v>
      </c>
      <c r="K35" s="988">
        <f t="shared" si="10"/>
        <v>0</v>
      </c>
      <c r="L35" s="988">
        <f t="shared" si="10"/>
        <v>0</v>
      </c>
      <c r="M35" s="988">
        <f t="shared" si="10"/>
        <v>0</v>
      </c>
    </row>
  </sheetData>
  <printOptions horizontalCentered="1" verticalCentered="1"/>
  <pageMargins left="0.5" right="0.5" top="1.75" bottom="0.5" header="0" footer="0"/>
  <pageSetup scale="58" fitToHeight="0" orientation="landscape" cellComments="atEnd" verticalDpi="0" r:id="rId1"/>
  <customProperties>
    <customPr name="GUID"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A1413-FA19-494C-9CF6-F8FD562FCDDA}">
  <sheetPr codeName="Sheet30">
    <pageSetUpPr fitToPage="1"/>
  </sheetPr>
  <dimension ref="A1:H6"/>
  <sheetViews>
    <sheetView workbookViewId="0">
      <selection activeCell="M6" sqref="B2:M6"/>
    </sheetView>
  </sheetViews>
  <sheetFormatPr defaultColWidth="8.85546875" defaultRowHeight="12.75"/>
  <cols>
    <col min="1" max="1" width="21" customWidth="1"/>
    <col min="3" max="3" width="16" bestFit="1" customWidth="1"/>
    <col min="4" max="4" width="18.85546875" bestFit="1" customWidth="1"/>
    <col min="5" max="5" width="20" bestFit="1" customWidth="1"/>
    <col min="6" max="6" width="17.42578125" bestFit="1" customWidth="1"/>
    <col min="7" max="7" width="16.42578125" bestFit="1" customWidth="1"/>
    <col min="8" max="8" width="13.85546875" bestFit="1" customWidth="1"/>
  </cols>
  <sheetData>
    <row r="1" spans="1:8">
      <c r="A1" t="s">
        <v>42</v>
      </c>
      <c r="B1" t="s">
        <v>1666</v>
      </c>
      <c r="C1" t="s">
        <v>1678</v>
      </c>
      <c r="D1" t="s">
        <v>1679</v>
      </c>
      <c r="E1" t="s">
        <v>1680</v>
      </c>
      <c r="F1" t="s">
        <v>1681</v>
      </c>
      <c r="G1" t="s">
        <v>1682</v>
      </c>
      <c r="H1" t="s">
        <v>1683</v>
      </c>
    </row>
    <row r="2" spans="1:8">
      <c r="A2" t="str" cm="1">
        <f t="array" aca="1" ref="A2:A4" ca="1">IF(SwitchRentRollType = "Detail",RentDetailList, RentSummaryList)</f>
        <v>1 Bed / 1 Bath</v>
      </c>
      <c r="B2" cm="1">
        <f t="array" aca="1" ref="B2:B4" ca="1">IF(SwitchRentRollType = "Detail",RentDetail_Units, RentSummary_Units)</f>
        <v>2</v>
      </c>
      <c r="C2" s="267">
        <f t="shared" ref="C2:D6" ca="1" si="0">IF(SwitchRentRollType = "Detail",G2,E2)</f>
        <v>2295</v>
      </c>
      <c r="D2" s="988">
        <f t="shared" ca="1" si="0"/>
        <v>3.5307692307692307</v>
      </c>
      <c r="E2" s="988" t="str" cm="1">
        <f t="array" aca="1" ref="E2" ca="1">IFERROR(INDEX('Rent Roll Summary Summary'!$B$2:$M$6,MATCH('Chart Data'!$A2,'Rent Roll Summary Summary'!$B$2:$B$6,0), _xlfn.SWITCH('Rent Roll Summary'!$C$3:$C$3,"Current", 7, "Scheduled", 8, "Potential", 9)),"")</f>
        <v/>
      </c>
      <c r="F2" s="988" t="str" cm="1">
        <f t="array" aca="1" ref="F2" ca="1">IFERROR(INDEX('Rent Roll Summary Summary'!$B$2:$M$6,MATCH('Chart Data'!$A2,'Rent Roll Summary Summary'!$B$2:$B$6,0), _xlfn.SWITCH('Rent Roll Summary'!$C$3:$C$3,"Current", 10, "Scheduled", 11, "Potential", 12)),"")</f>
        <v/>
      </c>
      <c r="G2" cm="1">
        <f t="array" aca="1" ref="G2" ca="1">IFERROR(INDEX('Rent Roll Detail Summary'!$B$31:$M$35,MATCH('Chart Data'!$A2,'Rent Roll Detail Summary'!$B$31:$B$35,0), _xlfn.SWITCH('Rent Roll Summary'!$C$3, "Current", 7, "Scheduled", 8, "Potential", 9)),"")</f>
        <v>2295</v>
      </c>
      <c r="H2" cm="1">
        <f t="array" aca="1" ref="H2" ca="1">IFERROR(INDEX('Rent Roll Detail Summary'!$B$31:$M$35,MATCH('Chart Data'!$A2,'Rent Roll Detail Summary'!$B$31:$B$35,0), _xlfn.SWITCH('Rent Roll Summary'!$C$3, "Current", 10, "Scheduled", 11, "Potential", 12)),"")</f>
        <v>3.5307692307692307</v>
      </c>
    </row>
    <row r="3" spans="1:8">
      <c r="A3" t="str">
        <f ca="1"/>
        <v>2 Bed / 1 Bath</v>
      </c>
      <c r="B3">
        <f ca="1"/>
        <v>24</v>
      </c>
      <c r="C3" s="267">
        <f t="shared" ca="1" si="0"/>
        <v>2650</v>
      </c>
      <c r="D3" s="988">
        <f t="shared" ca="1" si="0"/>
        <v>3.5333333333333332</v>
      </c>
      <c r="E3" s="988" t="str" cm="1">
        <f t="array" aca="1" ref="E3" ca="1">IFERROR(INDEX('Rent Roll Summary Summary'!$B$2:$M$6,MATCH('Chart Data'!$A3,'Rent Roll Summary Summary'!$B$2:$B$6,0), _xlfn.SWITCH('Rent Roll Summary'!$C$3:$C$3,"Current", 7, "Scheduled", 8, "Potential", 9)),"")</f>
        <v/>
      </c>
      <c r="F3" s="988" t="str" cm="1">
        <f t="array" aca="1" ref="F3" ca="1">IFERROR(INDEX('Rent Roll Summary Summary'!$B$2:$M$6,MATCH('Chart Data'!$A3,'Rent Roll Summary Summary'!$B$2:$B$6,0), _xlfn.SWITCH('Rent Roll Summary'!$C$3:$C$3,"Current", 10, "Scheduled", 11, "Potential", 12)),"")</f>
        <v/>
      </c>
      <c r="G3" cm="1">
        <f t="array" aca="1" ref="G3" ca="1">IFERROR(INDEX('Rent Roll Detail Summary'!$B$31:$M$35,MATCH('Chart Data'!$A3,'Rent Roll Detail Summary'!$B$31:$B$35,0), _xlfn.SWITCH('Rent Roll Summary'!$C$3, "Current", 7, "Scheduled", 8, "Potential", 9)),"")</f>
        <v>2650</v>
      </c>
      <c r="H3" cm="1">
        <f t="array" aca="1" ref="H3" ca="1">IFERROR(INDEX('Rent Roll Detail Summary'!$B$31:$M$35,MATCH('Chart Data'!$A3,'Rent Roll Detail Summary'!$B$31:$B$35,0), _xlfn.SWITCH('Rent Roll Summary'!$C$3, "Current", 10, "Scheduled", 11, "Potential", 12)),"")</f>
        <v>3.5333333333333332</v>
      </c>
    </row>
    <row r="4" spans="1:8">
      <c r="A4" t="str">
        <f ca="1"/>
        <v>4 Bed / 3 Bath House</v>
      </c>
      <c r="B4">
        <f ca="1"/>
        <v>1</v>
      </c>
      <c r="C4" s="267">
        <f t="shared" ca="1" si="0"/>
        <v>5000</v>
      </c>
      <c r="D4" s="988">
        <f t="shared" ca="1" si="0"/>
        <v>2</v>
      </c>
      <c r="E4" s="988" t="str" cm="1">
        <f t="array" aca="1" ref="E4" ca="1">IFERROR(INDEX('Rent Roll Summary Summary'!$B$2:$M$6,MATCH('Chart Data'!$A4,'Rent Roll Summary Summary'!$B$2:$B$6,0), _xlfn.SWITCH('Rent Roll Summary'!$C$3:$C$3,"Current", 7, "Scheduled", 8, "Potential", 9)),"")</f>
        <v/>
      </c>
      <c r="F4" s="988" t="str" cm="1">
        <f t="array" aca="1" ref="F4" ca="1">IFERROR(INDEX('Rent Roll Summary Summary'!$B$2:$M$6,MATCH('Chart Data'!$A4,'Rent Roll Summary Summary'!$B$2:$B$6,0), _xlfn.SWITCH('Rent Roll Summary'!$C$3:$C$3,"Current", 10, "Scheduled", 11, "Potential", 12)),"")</f>
        <v/>
      </c>
      <c r="G4" cm="1">
        <f t="array" aca="1" ref="G4" ca="1">IFERROR(INDEX('Rent Roll Detail Summary'!$B$31:$M$35,MATCH('Chart Data'!$A4,'Rent Roll Detail Summary'!$B$31:$B$35,0), _xlfn.SWITCH('Rent Roll Summary'!$C$3, "Current", 7, "Scheduled", 8, "Potential", 9)),"")</f>
        <v>5000</v>
      </c>
      <c r="H4" cm="1">
        <f t="array" aca="1" ref="H4" ca="1">IFERROR(INDEX('Rent Roll Detail Summary'!$B$31:$M$35,MATCH('Chart Data'!$A4,'Rent Roll Detail Summary'!$B$31:$B$35,0), _xlfn.SWITCH('Rent Roll Summary'!$C$3, "Current", 10, "Scheduled", 11, "Potential", 12)),"")</f>
        <v>2</v>
      </c>
    </row>
    <row r="5" spans="1:8">
      <c r="C5" s="267" t="str">
        <f t="shared" si="0"/>
        <v/>
      </c>
      <c r="D5" s="988" t="str">
        <f t="shared" si="0"/>
        <v/>
      </c>
      <c r="E5" s="988" t="str" cm="1">
        <f t="array" ref="E5">IFERROR(INDEX('Rent Roll Summary Summary'!$B$2:$M$6,MATCH('Chart Data'!$A5,'Rent Roll Summary Summary'!$B$2:$B$6,0), _xlfn.SWITCH('Rent Roll Summary'!$C$3:$C$3,"Current", 7, "Scheduled", 8, "Potential", 9)),"")</f>
        <v/>
      </c>
      <c r="F5" s="988" t="str" cm="1">
        <f t="array" ref="F5">IFERROR(INDEX('Rent Roll Summary Summary'!$B$2:$M$6,MATCH('Chart Data'!$A5,'Rent Roll Summary Summary'!$B$2:$B$6,0), _xlfn.SWITCH('Rent Roll Summary'!$C$3:$C$3,"Current", 10, "Scheduled", 11, "Potential", 12)),"")</f>
        <v/>
      </c>
      <c r="G5" t="str" cm="1">
        <f t="array" ref="G5">IFERROR(INDEX('Rent Roll Detail Summary'!$B$31:$M$35,MATCH('Chart Data'!$A5,'Rent Roll Detail Summary'!$B$31:$B$35,0), _xlfn.SWITCH('Rent Roll Summary'!$C$3, "Current", 7, "Scheduled", 8, "Potential", 9)),"")</f>
        <v/>
      </c>
      <c r="H5" t="str" cm="1">
        <f t="array" ref="H5">IFERROR(INDEX('Rent Roll Detail Summary'!$B$31:$M$35,MATCH('Chart Data'!$A5,'Rent Roll Detail Summary'!$B$31:$B$35,0), _xlfn.SWITCH('Rent Roll Summary'!$C$3, "Current", 10, "Scheduled", 11, "Potential", 12)),"")</f>
        <v/>
      </c>
    </row>
    <row r="6" spans="1:8">
      <c r="C6" s="267" t="str">
        <f t="shared" si="0"/>
        <v/>
      </c>
      <c r="D6" s="988" t="str">
        <f t="shared" si="0"/>
        <v/>
      </c>
      <c r="E6" s="988" t="str" cm="1">
        <f t="array" ref="E6">IFERROR(INDEX('Rent Roll Summary Summary'!$B$2:$M$6,MATCH('Chart Data'!$A6,'Rent Roll Summary Summary'!$B$2:$B$6,0), _xlfn.SWITCH('Rent Roll Summary'!$C$3:$C$3,"Current", 7, "Scheduled", 8, "Potential", 9)),"")</f>
        <v/>
      </c>
      <c r="F6" s="988" t="str" cm="1">
        <f t="array" ref="F6">IFERROR(INDEX('Rent Roll Summary Summary'!$B$2:$M$6,MATCH('Chart Data'!$A6,'Rent Roll Summary Summary'!$B$2:$B$6,0), _xlfn.SWITCH('Rent Roll Summary'!$C$3:$C$3,"Current", 10, "Scheduled", 11, "Potential", 12)),"")</f>
        <v/>
      </c>
      <c r="G6" t="str" cm="1">
        <f t="array" ref="G6">IFERROR(INDEX('Rent Roll Detail Summary'!$B$31:$M$35,MATCH('Chart Data'!$A6,'Rent Roll Detail Summary'!$B$31:$B$35,0), _xlfn.SWITCH('Rent Roll Summary'!$C$3, "Current", 7, "Scheduled", 8, "Potential", 9)),"")</f>
        <v/>
      </c>
      <c r="H6" t="str" cm="1">
        <f t="array" ref="H6">IFERROR(INDEX('Rent Roll Detail Summary'!$B$31:$M$35,MATCH('Chart Data'!$A6,'Rent Roll Detail Summary'!$B$31:$B$35,0), _xlfn.SWITCH('Rent Roll Summary'!$C$3, "Current", 10, "Scheduled", 11, "Potential", 12)),"")</f>
        <v/>
      </c>
    </row>
  </sheetData>
  <printOptions horizontalCentered="1" verticalCentered="1"/>
  <pageMargins left="0.5" right="0.5" top="1.75" bottom="0.5" header="0" footer="0"/>
  <pageSetup scale="98" fitToHeight="0" orientation="landscape" cellComments="atEnd" verticalDpi="0" r:id="rId1"/>
  <customProperties>
    <customPr name="GUID"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theme="8" tint="0.249977111117893"/>
    <pageSetUpPr fitToPage="1"/>
  </sheetPr>
  <dimension ref="A1:U61"/>
  <sheetViews>
    <sheetView showGridLines="0" topLeftCell="A3" zoomScaleSheetLayoutView="96" workbookViewId="0">
      <selection activeCell="H5" sqref="H5"/>
    </sheetView>
  </sheetViews>
  <sheetFormatPr defaultColWidth="8.85546875" defaultRowHeight="9"/>
  <cols>
    <col min="1" max="1" width="3.42578125" style="21" customWidth="1"/>
    <col min="2" max="3" width="2.5703125" style="21" customWidth="1"/>
    <col min="4" max="4" width="3.42578125" style="21" customWidth="1"/>
    <col min="5" max="5" width="22.42578125" style="21" customWidth="1"/>
    <col min="6" max="6" width="7.42578125" style="21" customWidth="1"/>
    <col min="7" max="7" width="9.85546875" style="21" customWidth="1"/>
    <col min="8" max="8" width="15.42578125" style="21" customWidth="1"/>
    <col min="9" max="9" width="12.5703125" style="21" bestFit="1" customWidth="1"/>
    <col min="10" max="10" width="15" style="21" customWidth="1"/>
    <col min="11" max="11" width="5.42578125" style="21" customWidth="1"/>
    <col min="12" max="12" width="14.85546875" style="21" customWidth="1"/>
    <col min="13" max="13" width="12.42578125" style="23" customWidth="1"/>
    <col min="14" max="14" width="15.140625" style="26" customWidth="1"/>
    <col min="15" max="15" width="17.85546875" style="26" customWidth="1"/>
    <col min="16" max="16" width="12.42578125" style="26" customWidth="1"/>
    <col min="17" max="17" width="2.5703125" style="21" customWidth="1"/>
    <col min="18" max="18" width="3.85546875" style="21" customWidth="1"/>
    <col min="19" max="19" width="3.5703125" style="21" customWidth="1"/>
    <col min="20" max="16384" width="8.85546875" style="21"/>
  </cols>
  <sheetData>
    <row r="1" spans="3:16" ht="15" customHeight="1">
      <c r="C1" s="46"/>
      <c r="E1" s="161" t="s">
        <v>1747</v>
      </c>
      <c r="F1" s="161"/>
    </row>
    <row r="2" spans="3:16" ht="11.25" customHeight="1"/>
    <row r="3" spans="3:16" s="55" customFormat="1" ht="15" customHeight="1">
      <c r="E3" s="1618" t="s">
        <v>1748</v>
      </c>
      <c r="F3" s="1618"/>
      <c r="G3" s="1618"/>
      <c r="H3" s="1618"/>
      <c r="I3" s="75"/>
      <c r="J3" s="75"/>
      <c r="K3" s="75"/>
      <c r="L3" s="75"/>
      <c r="M3" s="75"/>
      <c r="N3" s="75"/>
      <c r="O3" s="75"/>
      <c r="P3" s="63"/>
    </row>
    <row r="4" spans="3:16" s="55" customFormat="1" ht="11.25" customHeight="1">
      <c r="E4" s="145" t="s">
        <v>1749</v>
      </c>
      <c r="F4" s="145"/>
      <c r="G4" s="146">
        <f>IF(Input!B10="Unpriced","",Input!C9)</f>
        <v>9350000</v>
      </c>
      <c r="H4" s="253" t="str">
        <f>IF(Input!B10="Unpriced","Unpriced Listing","")</f>
        <v/>
      </c>
      <c r="J4" s="76"/>
      <c r="K4" s="67"/>
      <c r="L4" s="57"/>
      <c r="M4" s="60"/>
      <c r="N4" s="77"/>
      <c r="O4" s="70"/>
      <c r="P4" s="63"/>
    </row>
    <row r="5" spans="3:16" s="55" customFormat="1" ht="11.25" customHeight="1">
      <c r="E5" s="133" t="s">
        <v>1149</v>
      </c>
      <c r="F5" s="133"/>
      <c r="G5" s="99">
        <f>IF(G4="","-",G4-O17)</f>
        <v>4207500</v>
      </c>
      <c r="H5" s="100">
        <f>IFERROR(G5/G4,0)</f>
        <v>0.45</v>
      </c>
      <c r="I5" s="76"/>
      <c r="K5" s="57"/>
      <c r="L5" s="57"/>
      <c r="M5" s="78"/>
      <c r="N5" s="79"/>
      <c r="O5" s="70"/>
      <c r="P5" s="63"/>
    </row>
    <row r="6" spans="3:16" s="55" customFormat="1" ht="11.25" customHeight="1">
      <c r="E6" s="133" t="s">
        <v>1750</v>
      </c>
      <c r="F6" s="133"/>
      <c r="G6" s="317">
        <f>'Rent Roll Summary'!C36</f>
        <v>27</v>
      </c>
      <c r="H6" s="48"/>
      <c r="K6" s="67"/>
      <c r="L6" s="57"/>
      <c r="M6" s="78"/>
      <c r="N6" s="79"/>
      <c r="O6" s="63"/>
      <c r="P6" s="63"/>
    </row>
    <row r="7" spans="3:16" s="55" customFormat="1" ht="11.25" customHeight="1">
      <c r="E7" s="133" t="s">
        <v>1751</v>
      </c>
      <c r="F7" s="133"/>
      <c r="G7" s="102">
        <f>IFERROR(IF(G4="","-",G4/G6),0)</f>
        <v>346296.29629629629</v>
      </c>
      <c r="H7" s="101"/>
      <c r="K7" s="80"/>
      <c r="L7" s="57"/>
      <c r="M7" s="78"/>
      <c r="N7" s="79"/>
      <c r="O7" s="63"/>
      <c r="P7" s="63"/>
    </row>
    <row r="8" spans="3:16" s="55" customFormat="1" ht="11.25" customHeight="1">
      <c r="E8" s="133" t="s">
        <v>1752</v>
      </c>
      <c r="F8" s="133"/>
      <c r="G8" s="102">
        <f>IFERROR(IF(G4="","-",G4/G9),0)</f>
        <v>412.36658728058569</v>
      </c>
      <c r="H8" s="103"/>
      <c r="K8" s="66"/>
      <c r="L8" s="1050"/>
      <c r="M8" s="78"/>
      <c r="N8" s="79"/>
      <c r="O8" s="63"/>
      <c r="P8" s="63"/>
    </row>
    <row r="9" spans="3:16" s="55" customFormat="1" ht="11.25" customHeight="1">
      <c r="E9" s="133" t="s">
        <v>1753</v>
      </c>
      <c r="F9" s="133"/>
      <c r="G9" s="104">
        <f>'Rent Roll Summary'!T36</f>
        <v>22674</v>
      </c>
      <c r="H9" s="105"/>
      <c r="K9" s="57"/>
      <c r="L9" s="57"/>
      <c r="M9" s="78"/>
      <c r="N9" s="79"/>
      <c r="O9" s="70"/>
      <c r="P9" s="63"/>
    </row>
    <row r="10" spans="3:16" s="55" customFormat="1" ht="11.25" customHeight="1">
      <c r="E10" s="133" t="s">
        <v>54</v>
      </c>
      <c r="F10" s="133"/>
      <c r="G10" s="452">
        <f>Input!B13</f>
        <v>1.1200000000000001</v>
      </c>
      <c r="H10" s="105"/>
      <c r="K10" s="57"/>
      <c r="L10" s="57"/>
      <c r="M10" s="78"/>
      <c r="N10" s="79"/>
      <c r="O10" s="70"/>
      <c r="P10" s="63"/>
    </row>
    <row r="11" spans="3:16" s="55" customFormat="1" ht="11.25" customHeight="1">
      <c r="E11" s="134" t="s">
        <v>1754</v>
      </c>
      <c r="F11" s="134"/>
      <c r="G11" s="106">
        <f>Input!B27</f>
        <v>1953</v>
      </c>
      <c r="H11" s="107"/>
      <c r="I11" s="1051"/>
      <c r="J11" s="1051"/>
      <c r="K11" s="57"/>
      <c r="L11" s="57"/>
      <c r="M11" s="73"/>
      <c r="N11" s="63"/>
      <c r="O11" s="63"/>
      <c r="P11" s="63"/>
    </row>
    <row r="12" spans="3:16" s="55" customFormat="1" ht="11.25" customHeight="1">
      <c r="E12" s="1050"/>
      <c r="F12" s="1050"/>
      <c r="G12" s="1619"/>
      <c r="H12" s="1619"/>
      <c r="I12" s="1620"/>
      <c r="J12" s="1620"/>
      <c r="K12" s="57"/>
      <c r="M12" s="73"/>
      <c r="N12" s="63"/>
      <c r="O12" s="63"/>
      <c r="P12" s="63"/>
    </row>
    <row r="13" spans="3:16" s="55" customFormat="1" ht="15" customHeight="1">
      <c r="E13" s="1621" t="s">
        <v>1755</v>
      </c>
      <c r="F13" s="1621"/>
      <c r="G13" s="1621"/>
      <c r="H13" s="1621"/>
      <c r="I13" s="1621"/>
      <c r="J13" s="1621"/>
      <c r="K13" s="1621"/>
      <c r="L13" s="1621"/>
      <c r="M13" s="1621"/>
      <c r="N13" s="1621"/>
      <c r="O13" s="1621"/>
      <c r="P13" s="63"/>
    </row>
    <row r="14" spans="3:16" s="55" customFormat="1" ht="11.25" customHeight="1">
      <c r="E14" s="81"/>
      <c r="F14" s="81"/>
      <c r="G14" s="81"/>
      <c r="H14" s="81"/>
      <c r="I14" s="81"/>
      <c r="J14" s="81"/>
      <c r="K14" s="81"/>
      <c r="L14" s="81"/>
      <c r="M14" s="81"/>
      <c r="N14" s="81"/>
      <c r="O14" s="81"/>
      <c r="P14" s="63"/>
    </row>
    <row r="15" spans="3:16" s="55" customFormat="1" ht="11.25" customHeight="1">
      <c r="C15" s="57"/>
      <c r="D15" s="57"/>
      <c r="E15" s="1616"/>
      <c r="F15" s="1616"/>
      <c r="G15" s="1616"/>
      <c r="H15" s="1616"/>
      <c r="I15" s="1616"/>
      <c r="J15" s="1616"/>
      <c r="K15" s="1050"/>
      <c r="M15" s="73"/>
      <c r="N15" s="63"/>
      <c r="O15" s="63"/>
      <c r="P15" s="63"/>
    </row>
    <row r="16" spans="3:16" s="55" customFormat="1" ht="15" customHeight="1">
      <c r="C16" s="57"/>
      <c r="D16" s="1050"/>
      <c r="E16" s="1067" t="s">
        <v>1756</v>
      </c>
      <c r="F16" s="1624" t="s">
        <v>1757</v>
      </c>
      <c r="G16" s="1624"/>
      <c r="H16" s="1068" t="s">
        <v>1758</v>
      </c>
      <c r="I16" s="1069" t="s">
        <v>1759</v>
      </c>
      <c r="J16" s="1069" t="s">
        <v>1760</v>
      </c>
      <c r="L16" s="1617" t="s">
        <v>1761</v>
      </c>
      <c r="M16" s="1617"/>
      <c r="N16" s="1069"/>
      <c r="O16" s="1069"/>
      <c r="P16" s="63"/>
    </row>
    <row r="17" spans="3:21" s="55" customFormat="1" ht="11.25" customHeight="1">
      <c r="C17" s="57"/>
      <c r="D17" s="57"/>
      <c r="E17" s="71">
        <f>IF(LEN('Pricing Detail'!E30)=0," ",'Pricing Detail'!E30)</f>
        <v>2</v>
      </c>
      <c r="F17" s="1622" t="str">
        <f>IF(LEN('Pricing Detail'!F30)=0," ",'Pricing Detail'!F30)</f>
        <v>1 Bed / 1 Bath</v>
      </c>
      <c r="G17" s="1622">
        <f>IF(LEN('Pricing Detail'!H30)=0," ",'Pricing Detail'!H30)</f>
        <v>650</v>
      </c>
      <c r="H17" s="114">
        <f>IF(LEN('Pricing Detail'!H30)=0," ",'Pricing Detail'!H30)</f>
        <v>650</v>
      </c>
      <c r="I17" s="72">
        <f>IF(LEN('Pricing Detail'!I30)=0," ",'Pricing Detail'!I30)</f>
        <v>1922.5</v>
      </c>
      <c r="J17" s="72">
        <f>IF(LEN('Pricing Detail'!J30)=0," ",'Pricing Detail'!J30)</f>
        <v>2295</v>
      </c>
      <c r="L17" s="71" t="s">
        <v>1762</v>
      </c>
      <c r="M17" s="108"/>
      <c r="O17" s="109">
        <f>'Proposal Price IRR'!N27</f>
        <v>5142500</v>
      </c>
      <c r="P17" s="63"/>
    </row>
    <row r="18" spans="3:21" s="55" customFormat="1" ht="11.25" customHeight="1">
      <c r="C18" s="57"/>
      <c r="D18" s="57"/>
      <c r="E18" s="57">
        <f>IF(LEN('Pricing Detail'!E31)=0," ",'Pricing Detail'!E31)</f>
        <v>24</v>
      </c>
      <c r="F18" s="1623" t="str">
        <f>IF(LEN('Pricing Detail'!F31)=0," ",'Pricing Detail'!F31)</f>
        <v>2 Bed / 1 Bath</v>
      </c>
      <c r="G18" s="1623">
        <f>IF(LEN('Pricing Detail'!H31)=0," ",'Pricing Detail'!H31)</f>
        <v>750</v>
      </c>
      <c r="H18" s="115">
        <f>IF(LEN('Pricing Detail'!H31)=0," ",'Pricing Detail'!H31)</f>
        <v>750</v>
      </c>
      <c r="I18" s="116">
        <f>IF(LEN('Pricing Detail'!I31)=0," ",'Pricing Detail'!I31)</f>
        <v>2203.5</v>
      </c>
      <c r="J18" s="116">
        <f>IF(LEN('Pricing Detail'!J31)=0," ",'Pricing Detail'!J31)</f>
        <v>2650</v>
      </c>
      <c r="L18" s="57" t="s">
        <v>1763</v>
      </c>
      <c r="M18" s="79"/>
      <c r="O18" s="110" t="str">
        <f>'Pricing Detail'!H23</f>
        <v>New</v>
      </c>
      <c r="P18" s="63"/>
    </row>
    <row r="19" spans="3:21" s="55" customFormat="1" ht="11.25" customHeight="1">
      <c r="C19" s="57"/>
      <c r="D19" s="57"/>
      <c r="E19" s="57">
        <f>IF(LEN('Pricing Detail'!E32)=0," ",'Pricing Detail'!E32)</f>
        <v>1</v>
      </c>
      <c r="F19" s="1623" t="str">
        <f>IF(LEN('Pricing Detail'!F32)=0," ",'Pricing Detail'!F32)</f>
        <v>4 Bed / 3 Bath House</v>
      </c>
      <c r="G19" s="1623">
        <f>IF(LEN('Pricing Detail'!H32)=0," ",'Pricing Detail'!H32)</f>
        <v>2500</v>
      </c>
      <c r="H19" s="115">
        <f>IF(LEN('Pricing Detail'!H32)=0," ",'Pricing Detail'!H32)</f>
        <v>2500</v>
      </c>
      <c r="I19" s="116">
        <f>IF(LEN('Pricing Detail'!I32)=0," ",'Pricing Detail'!I32)</f>
        <v>5000</v>
      </c>
      <c r="J19" s="116">
        <f>IF(LEN('Pricing Detail'!J32)=0," ",'Pricing Detail'!J32)</f>
        <v>5000</v>
      </c>
      <c r="L19" s="57" t="s">
        <v>1764</v>
      </c>
      <c r="M19" s="79"/>
      <c r="O19" s="82">
        <f>'Proposal Price IRR'!N21</f>
        <v>5.7500000000000002E-2</v>
      </c>
      <c r="P19" s="63"/>
    </row>
    <row r="20" spans="3:21" s="55" customFormat="1" ht="11.25" customHeight="1">
      <c r="C20" s="57"/>
      <c r="D20" s="57"/>
      <c r="E20" s="57">
        <f>IF(LEN('Pricing Detail'!E33)=0," ",'Pricing Detail'!E33)</f>
        <v>0</v>
      </c>
      <c r="F20" s="1623" t="str">
        <f>IF(LEN('Pricing Detail'!F33)=0," ",'Pricing Detail'!F33)</f>
        <v xml:space="preserve"> </v>
      </c>
      <c r="G20" s="1623" t="str">
        <f>IF(LEN('Pricing Detail'!H33)=0," ",'Pricing Detail'!H33)</f>
        <v xml:space="preserve"> </v>
      </c>
      <c r="H20" s="115" t="str">
        <f>IF(LEN('Pricing Detail'!H33)=0," ",'Pricing Detail'!H33)</f>
        <v xml:space="preserve"> </v>
      </c>
      <c r="I20" s="116" t="str">
        <f>IF(LEN('Pricing Detail'!I33)=0," ",'Pricing Detail'!I33)</f>
        <v xml:space="preserve"> </v>
      </c>
      <c r="J20" s="116" t="str">
        <f>IF(LEN('Pricing Detail'!J33)=0," ",'Pricing Detail'!J33)</f>
        <v xml:space="preserve"> </v>
      </c>
      <c r="L20" s="57" t="s">
        <v>1765</v>
      </c>
      <c r="M20" s="79"/>
      <c r="O20" s="111">
        <f>'Proposal Price IRR'!N22</f>
        <v>30</v>
      </c>
      <c r="P20" s="63"/>
    </row>
    <row r="21" spans="3:21" s="55" customFormat="1" ht="11.25" customHeight="1">
      <c r="C21" s="57"/>
      <c r="D21" s="57"/>
      <c r="L21" s="98" t="s">
        <v>1766</v>
      </c>
      <c r="M21" s="112"/>
      <c r="N21" s="266"/>
      <c r="O21" s="113">
        <f>'Pricing Detail'!H26</f>
        <v>2029</v>
      </c>
      <c r="P21" s="63"/>
    </row>
    <row r="22" spans="3:21" s="55" customFormat="1" ht="11.25" customHeight="1">
      <c r="L22" s="87" t="s">
        <v>1767</v>
      </c>
      <c r="P22" s="63"/>
    </row>
    <row r="23" spans="3:21" s="55" customFormat="1" ht="11.25" customHeight="1">
      <c r="D23" s="57"/>
      <c r="P23" s="63"/>
      <c r="S23" s="68"/>
      <c r="T23" s="68"/>
      <c r="U23" s="68"/>
    </row>
    <row r="24" spans="3:21" s="55" customFormat="1" ht="11.25" customHeight="1">
      <c r="D24" s="57"/>
      <c r="P24" s="63"/>
    </row>
    <row r="25" spans="3:21" s="55" customFormat="1" ht="11.25" customHeight="1">
      <c r="D25" s="57"/>
      <c r="P25" s="63"/>
    </row>
    <row r="26" spans="3:21" s="55" customFormat="1" ht="11.25" customHeight="1">
      <c r="D26" s="57"/>
      <c r="P26" s="63"/>
    </row>
    <row r="27" spans="3:21" s="55" customFormat="1" ht="11.25" customHeight="1">
      <c r="D27" s="57"/>
      <c r="E27" s="62"/>
      <c r="F27" s="62"/>
      <c r="L27" s="1050"/>
      <c r="M27" s="85"/>
      <c r="N27" s="86"/>
      <c r="O27" s="86"/>
      <c r="P27" s="63"/>
    </row>
    <row r="28" spans="3:21" s="55" customFormat="1" ht="11.25" customHeight="1">
      <c r="D28" s="57"/>
      <c r="E28" s="1616"/>
      <c r="F28" s="1616"/>
      <c r="G28" s="1616"/>
      <c r="H28" s="1616"/>
      <c r="I28" s="1616"/>
      <c r="J28" s="1616"/>
      <c r="L28" s="57"/>
      <c r="M28" s="56"/>
      <c r="N28" s="82"/>
      <c r="O28" s="147"/>
      <c r="P28" s="63"/>
    </row>
    <row r="29" spans="3:21" s="55" customFormat="1" ht="15" customHeight="1">
      <c r="D29" s="57"/>
      <c r="E29" s="1067" t="s">
        <v>46</v>
      </c>
      <c r="F29" s="1067"/>
      <c r="G29" s="1067"/>
      <c r="H29" s="1069" t="str">
        <f>'Operating Statement'!O4</f>
        <v>Current</v>
      </c>
      <c r="I29" s="1069"/>
      <c r="J29" s="1069" t="str">
        <f>'Operating Statement'!Q4</f>
        <v>Pro Forma</v>
      </c>
      <c r="L29" s="1617" t="s">
        <v>1768</v>
      </c>
      <c r="M29" s="1617"/>
      <c r="N29" s="1070" t="str">
        <f>'Operating Statement'!O4</f>
        <v>Current</v>
      </c>
      <c r="O29" s="1069" t="str">
        <f>'Operating Statement'!Q4</f>
        <v>Pro Forma</v>
      </c>
      <c r="P29" s="63"/>
      <c r="T29" s="59"/>
    </row>
    <row r="30" spans="3:21" s="55" customFormat="1" ht="11.25" customHeight="1">
      <c r="D30" s="57"/>
      <c r="E30" s="138" t="s">
        <v>1769</v>
      </c>
      <c r="F30" s="138"/>
      <c r="G30" s="139"/>
      <c r="H30" s="140">
        <f>'Operating Statement'!O8</f>
        <v>740748</v>
      </c>
      <c r="I30" s="141"/>
      <c r="J30" s="140">
        <f>'Operating Statement'!Q8</f>
        <v>878280</v>
      </c>
      <c r="L30" s="71" t="str">
        <f>'Operating Statement'!E24</f>
        <v>Real Estate Taxes</v>
      </c>
      <c r="M30" s="74"/>
      <c r="N30" s="72">
        <f>'Operating Statement'!O24</f>
        <v>105655</v>
      </c>
      <c r="O30" s="72">
        <f>'Operating Statement'!Q24</f>
        <v>105655</v>
      </c>
      <c r="P30" s="63"/>
    </row>
    <row r="31" spans="3:21" s="55" customFormat="1" ht="11.25" customHeight="1">
      <c r="D31" s="57"/>
      <c r="E31" s="57" t="s">
        <v>1770</v>
      </c>
      <c r="F31" s="57"/>
      <c r="G31" s="117">
        <f>IFERROR(H31/H30,0)</f>
        <v>0.05</v>
      </c>
      <c r="H31" s="118">
        <f>-'Operating Statement'!O14</f>
        <v>37037.4</v>
      </c>
      <c r="I31" s="117">
        <f>IFERROR(J31/J30,0)</f>
        <v>0.05</v>
      </c>
      <c r="J31" s="118">
        <f>-'Operating Statement'!Q14</f>
        <v>43914</v>
      </c>
      <c r="L31" s="57" t="str">
        <f>'Operating Statement'!E25</f>
        <v>Insurance</v>
      </c>
      <c r="M31" s="56"/>
      <c r="N31" s="116">
        <f>'Operating Statement'!O25</f>
        <v>28074</v>
      </c>
      <c r="O31" s="116">
        <f>'Operating Statement'!Q25</f>
        <v>28074</v>
      </c>
      <c r="P31" s="63"/>
    </row>
    <row r="32" spans="3:21" s="55" customFormat="1" ht="11.25" customHeight="1">
      <c r="D32" s="57"/>
      <c r="E32" s="57" t="s">
        <v>1771</v>
      </c>
      <c r="F32" s="57"/>
      <c r="G32" s="56"/>
      <c r="H32" s="118">
        <f>'Operating Statement'!O16</f>
        <v>703710.6</v>
      </c>
      <c r="I32" s="119"/>
      <c r="J32" s="118">
        <f>'Operating Statement'!Q16</f>
        <v>834366</v>
      </c>
      <c r="L32" s="57" t="str">
        <f>'Operating Statement'!E26</f>
        <v>Utilities - Electric</v>
      </c>
      <c r="M32" s="56"/>
      <c r="N32" s="116">
        <f>'Operating Statement'!O26</f>
        <v>0</v>
      </c>
      <c r="O32" s="116">
        <f>'Operating Statement'!Q26</f>
        <v>0</v>
      </c>
      <c r="P32" s="63"/>
    </row>
    <row r="33" spans="1:17" s="55" customFormat="1" ht="11.25" customHeight="1">
      <c r="D33" s="57"/>
      <c r="E33" s="57" t="s">
        <v>1772</v>
      </c>
      <c r="F33" s="57"/>
      <c r="G33" s="56"/>
      <c r="H33" s="118">
        <f>'Operating Statement'!O20</f>
        <v>5820</v>
      </c>
      <c r="I33" s="119"/>
      <c r="J33" s="118">
        <f>'Operating Statement'!Q20</f>
        <v>5820</v>
      </c>
      <c r="L33" s="57" t="str">
        <f>'Operating Statement'!E27</f>
        <v>Utilities - Water &amp; Power</v>
      </c>
      <c r="M33" s="73"/>
      <c r="N33" s="116">
        <f>'Operating Statement'!O27</f>
        <v>24945.48</v>
      </c>
      <c r="O33" s="116">
        <f>'Operating Statement'!Q27</f>
        <v>24945.48</v>
      </c>
      <c r="P33" s="63"/>
    </row>
    <row r="34" spans="1:17" s="55" customFormat="1" ht="11.25" customHeight="1">
      <c r="E34" s="57" t="s">
        <v>59</v>
      </c>
      <c r="F34" s="57"/>
      <c r="G34" s="56"/>
      <c r="H34" s="118">
        <f>'Operating Statement'!O21</f>
        <v>709530.6</v>
      </c>
      <c r="I34" s="120"/>
      <c r="J34" s="118">
        <f>'Operating Statement'!Q21</f>
        <v>840186</v>
      </c>
      <c r="L34" s="57" t="str">
        <f>'Operating Statement'!E28</f>
        <v>Utilities - Gas</v>
      </c>
      <c r="M34" s="73"/>
      <c r="N34" s="116">
        <f>'Operating Statement'!O28</f>
        <v>2979.2000000000003</v>
      </c>
      <c r="O34" s="116">
        <f>'Operating Statement'!Q28</f>
        <v>2979.2000000000003</v>
      </c>
      <c r="P34" s="63"/>
    </row>
    <row r="35" spans="1:17" s="55" customFormat="1" ht="11.25" customHeight="1">
      <c r="E35" s="57" t="s">
        <v>1773</v>
      </c>
      <c r="F35" s="57"/>
      <c r="G35" s="121">
        <f>IFERROR(H35/$H$30,0)</f>
        <v>0.35598414575537157</v>
      </c>
      <c r="H35" s="97">
        <f>'Operating Statement'!O39</f>
        <v>263694.54399999999</v>
      </c>
      <c r="I35" s="121">
        <f>IFERROR(J35/J30,0)</f>
        <v>0.30619023546021773</v>
      </c>
      <c r="J35" s="97">
        <f>'Operating Statement'!Q39</f>
        <v>268920.76</v>
      </c>
      <c r="L35" s="57" t="str">
        <f>'Operating Statement'!E29</f>
        <v>Trash Removal</v>
      </c>
      <c r="M35" s="56"/>
      <c r="N35" s="116">
        <f>'Operating Statement'!O29</f>
        <v>17699.64</v>
      </c>
      <c r="O35" s="116">
        <f>'Operating Statement'!Q29</f>
        <v>17699.64</v>
      </c>
      <c r="P35" s="63"/>
    </row>
    <row r="36" spans="1:17" s="55" customFormat="1" ht="15" customHeight="1">
      <c r="D36" s="57"/>
      <c r="E36" s="142" t="s">
        <v>63</v>
      </c>
      <c r="F36" s="142"/>
      <c r="G36" s="143"/>
      <c r="H36" s="144">
        <f>H34-H35</f>
        <v>445836.05599999998</v>
      </c>
      <c r="I36" s="143"/>
      <c r="J36" s="144">
        <f>J34-J35</f>
        <v>571265.24</v>
      </c>
      <c r="L36" s="57" t="str">
        <f>'Operating Statement'!E30</f>
        <v>Repairs &amp; Maintenance</v>
      </c>
      <c r="M36" s="56"/>
      <c r="N36" s="116">
        <f>'Operating Statement'!O30</f>
        <v>20250</v>
      </c>
      <c r="O36" s="116">
        <f>'Operating Statement'!Q30</f>
        <v>20250</v>
      </c>
      <c r="P36" s="63"/>
    </row>
    <row r="37" spans="1:17" s="55" customFormat="1" ht="11.25" customHeight="1">
      <c r="D37" s="57"/>
      <c r="E37" s="57" t="s">
        <v>65</v>
      </c>
      <c r="F37" s="57"/>
      <c r="G37" s="117"/>
      <c r="H37" s="118">
        <f>H36</f>
        <v>445836.05599999998</v>
      </c>
      <c r="I37" s="117"/>
      <c r="J37" s="122">
        <f>'Cash Flow'!G32</f>
        <v>571265.24</v>
      </c>
      <c r="L37" s="57" t="str">
        <f>'Operating Statement'!E31</f>
        <v>Landscaping</v>
      </c>
      <c r="M37" s="56"/>
      <c r="N37" s="116">
        <f>'Operating Statement'!O31</f>
        <v>4800</v>
      </c>
      <c r="O37" s="116">
        <f>'Operating Statement'!Q31</f>
        <v>4800</v>
      </c>
      <c r="P37" s="63"/>
    </row>
    <row r="38" spans="1:17" s="55" customFormat="1" ht="11.25" customHeight="1">
      <c r="D38" s="57"/>
      <c r="E38" s="57" t="s">
        <v>67</v>
      </c>
      <c r="F38" s="57"/>
      <c r="G38" s="117"/>
      <c r="H38" s="118">
        <f>-SUM('Cash Flow'!G39:G40)</f>
        <v>360122.80971131654</v>
      </c>
      <c r="I38" s="117"/>
      <c r="J38" s="118">
        <f>-SUM('Cash Flow'!G39:G40)</f>
        <v>360122.80971131654</v>
      </c>
      <c r="L38" s="57" t="str">
        <f>'Operating Statement'!E32</f>
        <v>Marketing &amp; Advertising</v>
      </c>
      <c r="M38" s="56"/>
      <c r="N38" s="116">
        <f>'Operating Statement'!O32</f>
        <v>0</v>
      </c>
      <c r="O38" s="116">
        <f>'Operating Statement'!Q32</f>
        <v>0</v>
      </c>
      <c r="P38" s="63"/>
    </row>
    <row r="39" spans="1:17" s="58" customFormat="1" ht="11.25" customHeight="1">
      <c r="D39" s="57"/>
      <c r="E39" s="123" t="s">
        <v>71</v>
      </c>
      <c r="F39" s="123"/>
      <c r="G39" s="124">
        <f>IFERROR(H39/G5,0)</f>
        <v>2.0371538036526068E-2</v>
      </c>
      <c r="H39" s="125">
        <f>H37-H38</f>
        <v>85713.24628868344</v>
      </c>
      <c r="I39" s="124">
        <f>IFERROR(J39/G5,0)</f>
        <v>5.0182395790536766E-2</v>
      </c>
      <c r="J39" s="125">
        <f>J37-J38</f>
        <v>211142.43028868345</v>
      </c>
      <c r="L39" s="57" t="str">
        <f>'Operating Statement'!E33</f>
        <v>Pest Control</v>
      </c>
      <c r="M39" s="56"/>
      <c r="N39" s="116">
        <f>'Operating Statement'!O33</f>
        <v>700</v>
      </c>
      <c r="O39" s="116">
        <f>'Operating Statement'!Q33</f>
        <v>700</v>
      </c>
      <c r="P39" s="69"/>
      <c r="Q39" s="55"/>
    </row>
    <row r="40" spans="1:17" s="58" customFormat="1" ht="11.25" customHeight="1">
      <c r="D40" s="57"/>
      <c r="E40" s="98" t="s">
        <v>1774</v>
      </c>
      <c r="F40" s="98"/>
      <c r="G40" s="126"/>
      <c r="H40" s="127">
        <f>-'Cash Flow'!G40</f>
        <v>66154.448956313965</v>
      </c>
      <c r="I40" s="128"/>
      <c r="J40" s="127">
        <f>-'Cash Flow'!H40</f>
        <v>70060.196461221756</v>
      </c>
      <c r="L40" s="57" t="str">
        <f>'Operating Statement'!E37</f>
        <v>Operating Reserves</v>
      </c>
      <c r="M40" s="56"/>
      <c r="N40" s="116">
        <f>'Operating Statement'!O37</f>
        <v>4050</v>
      </c>
      <c r="O40" s="116">
        <f>'Operating Statement'!Q37</f>
        <v>4050</v>
      </c>
      <c r="P40" s="69"/>
      <c r="Q40" s="55"/>
    </row>
    <row r="41" spans="1:17" s="58" customFormat="1" ht="11.25" customHeight="1">
      <c r="D41" s="57"/>
      <c r="E41" s="1128" t="s">
        <v>1775</v>
      </c>
      <c r="F41" s="1128"/>
      <c r="G41" s="1129"/>
      <c r="H41" s="1130">
        <f>H39+H40</f>
        <v>151867.69524499739</v>
      </c>
      <c r="I41" s="1129"/>
      <c r="J41" s="1130">
        <f>J39+J40</f>
        <v>281202.62674990518</v>
      </c>
      <c r="L41" s="57" t="str">
        <f>'Operating Statement'!E34</f>
        <v>Onsite Manager</v>
      </c>
      <c r="M41" s="56"/>
      <c r="N41" s="116">
        <f>'Operating Statement'!O34</f>
        <v>24000</v>
      </c>
      <c r="O41" s="116">
        <f>'Operating Statement'!Q34</f>
        <v>24000</v>
      </c>
      <c r="P41" s="69"/>
      <c r="Q41" s="55"/>
    </row>
    <row r="42" spans="1:17" s="58" customFormat="1" ht="11.25" customHeight="1">
      <c r="D42" s="57"/>
      <c r="L42" s="57" t="str">
        <f>'Operating Statement'!E35</f>
        <v>General &amp; Administrative</v>
      </c>
      <c r="M42" s="56"/>
      <c r="N42" s="116">
        <f>'Operating Statement'!O35</f>
        <v>2160</v>
      </c>
      <c r="O42" s="116">
        <f>'Operating Statement'!Q35</f>
        <v>2160</v>
      </c>
      <c r="P42" s="69"/>
      <c r="Q42" s="55"/>
    </row>
    <row r="43" spans="1:17" s="55" customFormat="1" ht="11.25" customHeight="1">
      <c r="C43" s="58"/>
      <c r="D43" s="57"/>
      <c r="L43" s="57">
        <f>'Operating Statement'!E36</f>
        <v>0</v>
      </c>
      <c r="M43" s="56"/>
      <c r="N43" s="116">
        <f>'Operating Statement'!O36</f>
        <v>0</v>
      </c>
      <c r="O43" s="116">
        <f>'Operating Statement'!Q36</f>
        <v>0</v>
      </c>
      <c r="P43" s="63"/>
    </row>
    <row r="44" spans="1:17" s="55" customFormat="1" ht="11.25" customHeight="1">
      <c r="C44" s="58"/>
      <c r="D44" s="57"/>
      <c r="L44" s="57" t="str">
        <f>'Operating Statement'!E38</f>
        <v>Management Fee</v>
      </c>
      <c r="M44" s="56"/>
      <c r="N44" s="116">
        <f>'Operating Statement'!O38</f>
        <v>28381.223999999998</v>
      </c>
      <c r="O44" s="116">
        <f>'Operating Statement'!Q38</f>
        <v>33607.440000000002</v>
      </c>
      <c r="P44" s="63"/>
    </row>
    <row r="45" spans="1:17" s="55" customFormat="1" ht="11.25" customHeight="1">
      <c r="C45" s="58"/>
      <c r="D45" s="57"/>
      <c r="L45" s="135" t="s">
        <v>1776</v>
      </c>
      <c r="M45" s="136"/>
      <c r="N45" s="137">
        <f>SUM(N30:N44)</f>
        <v>263694.54399999999</v>
      </c>
      <c r="O45" s="137">
        <f>SUM(O30:O44)</f>
        <v>268920.76</v>
      </c>
      <c r="P45" s="63"/>
    </row>
    <row r="46" spans="1:17" s="55" customFormat="1" ht="11.25" customHeight="1">
      <c r="L46" s="155" t="s">
        <v>1777</v>
      </c>
      <c r="M46" s="156"/>
      <c r="N46" s="157">
        <f>N45/$G$6</f>
        <v>9766.4645925925925</v>
      </c>
      <c r="O46" s="157">
        <f>O45/$G$6</f>
        <v>9960.0281481481488</v>
      </c>
      <c r="P46" s="63"/>
    </row>
    <row r="47" spans="1:17" s="55" customFormat="1" ht="11.25" customHeight="1">
      <c r="A47" s="21"/>
      <c r="B47" s="21"/>
      <c r="C47" s="21"/>
      <c r="D47" s="21"/>
      <c r="L47" s="158" t="s">
        <v>1778</v>
      </c>
      <c r="M47" s="159"/>
      <c r="N47" s="160">
        <f>N45/$G$9</f>
        <v>11.629820234629973</v>
      </c>
      <c r="O47" s="160">
        <f>O45/$G$9</f>
        <v>11.86031401605363</v>
      </c>
      <c r="P47" s="63"/>
    </row>
    <row r="48" spans="1:17" s="55" customFormat="1" ht="11.25" customHeight="1">
      <c r="A48" s="21"/>
      <c r="B48" s="21"/>
      <c r="C48" s="21"/>
      <c r="D48" s="21"/>
      <c r="M48" s="73"/>
      <c r="N48" s="63"/>
      <c r="O48" s="63"/>
      <c r="P48" s="63"/>
    </row>
    <row r="49" spans="1:16" s="55" customFormat="1" ht="11.25" customHeight="1">
      <c r="A49" s="21"/>
      <c r="B49" s="21"/>
      <c r="C49" s="21"/>
      <c r="D49" s="21"/>
      <c r="G49" s="62"/>
      <c r="H49" s="62"/>
      <c r="I49" s="62"/>
      <c r="J49" s="62"/>
      <c r="M49" s="60"/>
      <c r="N49" s="70"/>
      <c r="O49" s="70"/>
      <c r="P49" s="63"/>
    </row>
    <row r="50" spans="1:16" ht="11.25" customHeight="1">
      <c r="L50" s="55"/>
      <c r="M50" s="73"/>
      <c r="N50" s="63"/>
      <c r="O50" s="63"/>
    </row>
    <row r="51" spans="1:16" ht="11.25" customHeight="1"/>
    <row r="52" spans="1:16" ht="11.25" customHeight="1"/>
    <row r="53" spans="1:16" ht="11.25" customHeight="1"/>
    <row r="54" spans="1:16" ht="11.25" customHeight="1"/>
    <row r="55" spans="1:16" ht="11.25" customHeight="1"/>
    <row r="56" spans="1:16" ht="11.25" customHeight="1"/>
    <row r="57" spans="1:16" ht="11.25" customHeight="1"/>
    <row r="58" spans="1:16" ht="11.25" customHeight="1"/>
    <row r="59" spans="1:16" ht="11.25" customHeight="1"/>
    <row r="60" spans="1:16" ht="11.25" customHeight="1"/>
    <row r="61" spans="1:16" ht="11.25" customHeight="1"/>
  </sheetData>
  <mergeCells count="13">
    <mergeCell ref="E28:J28"/>
    <mergeCell ref="L29:M29"/>
    <mergeCell ref="L16:M16"/>
    <mergeCell ref="E3:H3"/>
    <mergeCell ref="G12:H12"/>
    <mergeCell ref="I12:J12"/>
    <mergeCell ref="E13:O13"/>
    <mergeCell ref="E15:J15"/>
    <mergeCell ref="F17:G17"/>
    <mergeCell ref="F20:G20"/>
    <mergeCell ref="F16:G16"/>
    <mergeCell ref="F19:G19"/>
    <mergeCell ref="F18:G18"/>
  </mergeCells>
  <conditionalFormatting sqref="E17:J20">
    <cfRule type="expression" dxfId="66" priority="5">
      <formula>$E17=0</formula>
    </cfRule>
  </conditionalFormatting>
  <printOptions horizontalCentered="1" verticalCentered="1"/>
  <pageMargins left="0.5" right="0.5" top="1.75" bottom="0.5" header="0" footer="0"/>
  <pageSetup scale="88" fitToHeight="0" orientation="landscape" cellComments="atEnd" r:id="rId1"/>
  <headerFooter>
    <oddFooter>&amp;CNOTICE:This is a draft and not intended for client distribution.</oddFooter>
  </headerFooter>
  <customProperties>
    <customPr name="GUID" r:id="rId2"/>
  </customProperties>
  <ignoredErrors>
    <ignoredError sqref="H31 H39" formula="1"/>
  </ignoredErrors>
  <legacyDrawingHF r:id="rId3"/>
  <extLst>
    <ext xmlns:x14="http://schemas.microsoft.com/office/spreadsheetml/2009/9/main" uri="{78C0D931-6437-407d-A8EE-F0AAD7539E65}">
      <x14:conditionalFormattings>
        <x14:conditionalFormatting xmlns:xm="http://schemas.microsoft.com/office/excel/2006/main">
          <x14:cfRule type="expression" priority="29" id="{773C57A4-DF30-4A95-A5A8-1393D4876A17}">
            <xm:f>Debt!$K$7="Hide Debt"</xm:f>
            <x14:dxf>
              <font>
                <color theme="0"/>
              </font>
              <fill>
                <patternFill>
                  <bgColor theme="0"/>
                </patternFill>
              </fill>
              <border>
                <left/>
                <right/>
                <top/>
                <bottom/>
                <vertical/>
                <horizontal/>
              </border>
            </x14:dxf>
          </x14:cfRule>
          <xm:sqref>L16:O22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tabColor rgb="FF92D050"/>
    <pageSetUpPr fitToPage="1"/>
  </sheetPr>
  <dimension ref="A1:R36"/>
  <sheetViews>
    <sheetView showGridLines="0" view="pageBreakPreview" zoomScale="140" zoomScaleNormal="100" zoomScaleSheetLayoutView="140" workbookViewId="0">
      <selection activeCell="M39" sqref="M39:M48"/>
    </sheetView>
  </sheetViews>
  <sheetFormatPr defaultColWidth="8.85546875" defaultRowHeight="9"/>
  <cols>
    <col min="1" max="2" width="2" style="45" customWidth="1"/>
    <col min="3" max="3" width="20.85546875" style="45" customWidth="1"/>
    <col min="4" max="4" width="13" style="45" customWidth="1"/>
    <col min="5" max="6" width="10" style="45" customWidth="1"/>
    <col min="7" max="13" width="10" style="63" customWidth="1"/>
    <col min="14" max="14" width="11.42578125" style="63" customWidth="1"/>
    <col min="15" max="16" width="3.5703125" style="45" customWidth="1"/>
    <col min="17" max="16384" width="8.85546875" style="45"/>
  </cols>
  <sheetData>
    <row r="1" spans="1:18" s="700" customFormat="1" ht="13.5" customHeight="1">
      <c r="A1" s="598"/>
      <c r="B1" s="598"/>
      <c r="C1" s="758" t="s">
        <v>1796</v>
      </c>
      <c r="D1" s="598"/>
      <c r="E1" s="598"/>
      <c r="F1" s="598"/>
      <c r="G1" s="635"/>
      <c r="H1" s="635"/>
      <c r="I1" s="635"/>
      <c r="J1" s="635"/>
      <c r="K1" s="635"/>
      <c r="L1" s="635"/>
      <c r="M1" s="635"/>
      <c r="N1" s="635"/>
      <c r="O1" s="598"/>
      <c r="P1" s="598"/>
      <c r="Q1" s="598"/>
      <c r="R1" s="598"/>
    </row>
    <row r="2" spans="1:18" s="700" customFormat="1" ht="13.5" customHeight="1">
      <c r="A2" s="598"/>
      <c r="B2" s="598"/>
      <c r="C2" s="598"/>
      <c r="D2" s="798"/>
      <c r="E2" s="798"/>
      <c r="F2" s="798"/>
      <c r="G2" s="798"/>
      <c r="H2" s="798"/>
      <c r="I2" s="798"/>
      <c r="J2" s="798"/>
      <c r="K2" s="798"/>
      <c r="L2" s="798"/>
      <c r="M2" s="798"/>
      <c r="N2" s="598"/>
      <c r="O2" s="598"/>
      <c r="P2" s="598"/>
      <c r="Q2" s="598"/>
      <c r="R2" s="598"/>
    </row>
    <row r="3" spans="1:18" s="702" customFormat="1" ht="13.5" customHeight="1">
      <c r="A3" s="605"/>
      <c r="B3" s="605"/>
      <c r="C3" s="781" t="s">
        <v>46</v>
      </c>
      <c r="D3" s="799" t="str">
        <f>'Operating Statement'!Q4</f>
        <v>Pro Forma</v>
      </c>
      <c r="E3" s="817">
        <f>'Cash Flow'!H3</f>
        <v>46753</v>
      </c>
      <c r="F3" s="817">
        <f>'Cash Flow'!I3</f>
        <v>47119</v>
      </c>
      <c r="G3" s="817">
        <f>'Cash Flow'!J3</f>
        <v>47484</v>
      </c>
      <c r="H3" s="817">
        <f>'Cash Flow'!K3</f>
        <v>47849</v>
      </c>
      <c r="I3" s="817">
        <f>'Cash Flow'!L3</f>
        <v>48214</v>
      </c>
      <c r="J3" s="817">
        <f>'Cash Flow'!M3</f>
        <v>48580</v>
      </c>
      <c r="K3" s="817">
        <f>'Cash Flow'!N3</f>
        <v>48945</v>
      </c>
      <c r="L3" s="817">
        <f>'Cash Flow'!O3</f>
        <v>49310</v>
      </c>
      <c r="M3" s="817">
        <f>'Cash Flow'!P3</f>
        <v>49675</v>
      </c>
      <c r="N3" s="605"/>
      <c r="O3" s="605"/>
      <c r="P3" s="605"/>
      <c r="Q3" s="605"/>
      <c r="R3" s="605"/>
    </row>
    <row r="4" spans="1:18" s="702" customFormat="1" ht="13.5" customHeight="1">
      <c r="A4" s="605"/>
      <c r="B4" s="605"/>
      <c r="C4" s="801" t="str">
        <f>'Operating Statement'!E5</f>
        <v>Rental Income</v>
      </c>
      <c r="D4" s="939"/>
      <c r="E4" s="939"/>
      <c r="F4" s="939"/>
      <c r="G4" s="939"/>
      <c r="H4" s="939"/>
      <c r="I4" s="764"/>
      <c r="J4" s="764"/>
      <c r="K4" s="766"/>
      <c r="L4" s="764"/>
      <c r="M4" s="764"/>
      <c r="N4" s="605"/>
      <c r="O4" s="605"/>
      <c r="P4" s="605"/>
      <c r="Q4" s="605"/>
      <c r="R4" s="605"/>
    </row>
    <row r="5" spans="1:18" s="702" customFormat="1" ht="13.5" customHeight="1">
      <c r="A5" s="605"/>
      <c r="B5" s="605"/>
      <c r="C5" s="772" t="str">
        <f>'Operating Statement'!E6</f>
        <v>Gross Potential Rent</v>
      </c>
      <c r="D5" s="941">
        <f>IFERROR(('Operating Statement'!Q6-'Operating Statement'!O6)/'Operating Statement'!O6,"")</f>
        <v>0</v>
      </c>
      <c r="E5" s="1002">
        <v>0.05</v>
      </c>
      <c r="F5" s="1002">
        <v>0.04</v>
      </c>
      <c r="G5" s="1002">
        <v>0.04</v>
      </c>
      <c r="H5" s="1002">
        <v>0.03</v>
      </c>
      <c r="I5" s="1002">
        <v>0.03</v>
      </c>
      <c r="J5" s="1002">
        <v>0.03</v>
      </c>
      <c r="K5" s="1003">
        <v>0.03</v>
      </c>
      <c r="L5" s="1002">
        <v>0.03</v>
      </c>
      <c r="M5" s="1002">
        <v>0.03</v>
      </c>
      <c r="N5" s="605"/>
      <c r="O5" s="605"/>
      <c r="P5" s="605"/>
      <c r="Q5" s="605"/>
      <c r="R5" s="605"/>
    </row>
    <row r="6" spans="1:18" s="702" customFormat="1" ht="13.5" customHeight="1">
      <c r="A6" s="605"/>
      <c r="B6" s="605"/>
      <c r="C6" s="773" t="str">
        <f>'Operating Statement'!E7&amp;"(1)"</f>
        <v>Loss / Gain to Lease(1)</v>
      </c>
      <c r="D6" s="941">
        <f>'Operating Statement'!R7</f>
        <v>0</v>
      </c>
      <c r="E6" s="1002">
        <v>0.02</v>
      </c>
      <c r="F6" s="1002">
        <v>0.02</v>
      </c>
      <c r="G6" s="1002">
        <v>0.01</v>
      </c>
      <c r="H6" s="1002">
        <v>0.01</v>
      </c>
      <c r="I6" s="1002">
        <v>0.01</v>
      </c>
      <c r="J6" s="1002">
        <v>0.01</v>
      </c>
      <c r="K6" s="1003">
        <v>0.01</v>
      </c>
      <c r="L6" s="1002">
        <v>0.01</v>
      </c>
      <c r="M6" s="1002">
        <v>0.01</v>
      </c>
      <c r="N6" s="605"/>
      <c r="O6" s="605"/>
      <c r="P6" s="605"/>
      <c r="Q6" s="605"/>
      <c r="R6" s="605"/>
    </row>
    <row r="7" spans="1:18" s="702" customFormat="1" ht="13.5" customHeight="1">
      <c r="A7" s="605"/>
      <c r="B7" s="605"/>
      <c r="C7" s="772" t="str">
        <f>'Operating Statement'!E9</f>
        <v>Physical Vacancy</v>
      </c>
      <c r="D7" s="763"/>
      <c r="E7" s="1002">
        <v>0.05</v>
      </c>
      <c r="F7" s="1002">
        <v>0.05</v>
      </c>
      <c r="G7" s="1002">
        <v>0.05</v>
      </c>
      <c r="H7" s="1002">
        <v>0.03</v>
      </c>
      <c r="I7" s="1002">
        <v>0.03</v>
      </c>
      <c r="J7" s="1002">
        <v>0.03</v>
      </c>
      <c r="K7" s="1003">
        <v>0.03</v>
      </c>
      <c r="L7" s="1002">
        <v>0.03</v>
      </c>
      <c r="M7" s="1002">
        <v>0.03</v>
      </c>
      <c r="N7" s="605"/>
      <c r="O7" s="605"/>
      <c r="P7" s="605"/>
      <c r="Q7" s="605"/>
      <c r="R7" s="605"/>
    </row>
    <row r="8" spans="1:18" s="702" customFormat="1" ht="13.5" hidden="1" customHeight="1">
      <c r="A8" s="605"/>
      <c r="B8" s="605"/>
      <c r="C8" s="772" t="s">
        <v>1797</v>
      </c>
      <c r="D8" s="942"/>
      <c r="E8" s="783"/>
      <c r="F8" s="783"/>
      <c r="G8" s="783"/>
      <c r="H8" s="783"/>
      <c r="I8" s="783"/>
      <c r="J8" s="783"/>
      <c r="K8" s="802"/>
      <c r="L8" s="783"/>
      <c r="M8" s="783"/>
      <c r="N8" s="605"/>
      <c r="O8" s="605"/>
      <c r="P8" s="605"/>
      <c r="Q8" s="605"/>
      <c r="R8" s="605"/>
    </row>
    <row r="9" spans="1:18" s="702" customFormat="1" ht="13.5" hidden="1" customHeight="1">
      <c r="A9" s="605"/>
      <c r="B9" s="605"/>
      <c r="C9" s="773" t="str">
        <f>'Operating Statement'!E11</f>
        <v>Non-Revenue Units</v>
      </c>
      <c r="D9" s="942"/>
      <c r="E9" s="1002">
        <v>0</v>
      </c>
      <c r="F9" s="1002">
        <v>0</v>
      </c>
      <c r="G9" s="1002">
        <v>0</v>
      </c>
      <c r="H9" s="1002">
        <v>0</v>
      </c>
      <c r="I9" s="1002">
        <v>0</v>
      </c>
      <c r="J9" s="1002">
        <v>0</v>
      </c>
      <c r="K9" s="1003">
        <v>0</v>
      </c>
      <c r="L9" s="1002">
        <v>0</v>
      </c>
      <c r="M9" s="1002">
        <v>0</v>
      </c>
      <c r="N9" s="605"/>
      <c r="O9" s="605"/>
      <c r="P9" s="605"/>
      <c r="Q9" s="605"/>
      <c r="R9" s="605"/>
    </row>
    <row r="10" spans="1:18" s="702" customFormat="1" ht="13.5" hidden="1" customHeight="1">
      <c r="A10" s="605"/>
      <c r="B10" s="605"/>
      <c r="C10" s="773" t="str">
        <f>'Operating Statement'!E12</f>
        <v>Bad Debt</v>
      </c>
      <c r="D10" s="942"/>
      <c r="E10" s="1002">
        <v>0</v>
      </c>
      <c r="F10" s="1002">
        <v>0</v>
      </c>
      <c r="G10" s="1002">
        <v>0</v>
      </c>
      <c r="H10" s="1002">
        <v>0</v>
      </c>
      <c r="I10" s="1002">
        <v>0</v>
      </c>
      <c r="J10" s="1002">
        <v>0</v>
      </c>
      <c r="K10" s="1003">
        <v>0</v>
      </c>
      <c r="L10" s="1002">
        <v>0</v>
      </c>
      <c r="M10" s="1002">
        <v>0</v>
      </c>
      <c r="N10" s="605"/>
      <c r="O10" s="605"/>
      <c r="P10" s="605"/>
      <c r="Q10" s="605"/>
      <c r="R10" s="605"/>
    </row>
    <row r="11" spans="1:18" s="702" customFormat="1" ht="13.5" hidden="1" customHeight="1">
      <c r="A11" s="605"/>
      <c r="B11" s="605"/>
      <c r="C11" s="773" t="str">
        <f>'Operating Statement'!E13</f>
        <v>Concession</v>
      </c>
      <c r="D11" s="942"/>
      <c r="E11" s="1002">
        <v>0</v>
      </c>
      <c r="F11" s="1002">
        <v>0</v>
      </c>
      <c r="G11" s="1002">
        <v>0</v>
      </c>
      <c r="H11" s="1002">
        <v>0</v>
      </c>
      <c r="I11" s="1002">
        <v>0</v>
      </c>
      <c r="J11" s="1002">
        <v>0</v>
      </c>
      <c r="K11" s="1003">
        <v>0</v>
      </c>
      <c r="L11" s="1002">
        <v>0</v>
      </c>
      <c r="M11" s="1002">
        <v>0</v>
      </c>
      <c r="N11" s="605"/>
      <c r="O11" s="605"/>
      <c r="P11" s="605"/>
      <c r="Q11" s="605"/>
      <c r="R11" s="605"/>
    </row>
    <row r="12" spans="1:18" s="702" customFormat="1" ht="13.5" customHeight="1">
      <c r="A12" s="605"/>
      <c r="B12" s="605"/>
      <c r="C12" s="803" t="s">
        <v>1798</v>
      </c>
      <c r="D12" s="943"/>
      <c r="E12" s="936">
        <f t="shared" ref="E12:M12" si="0">SUM(E9:E11)+E7</f>
        <v>0.05</v>
      </c>
      <c r="F12" s="936">
        <f t="shared" si="0"/>
        <v>0.05</v>
      </c>
      <c r="G12" s="936">
        <f t="shared" si="0"/>
        <v>0.05</v>
      </c>
      <c r="H12" s="936">
        <f t="shared" si="0"/>
        <v>0.03</v>
      </c>
      <c r="I12" s="936">
        <f t="shared" si="0"/>
        <v>0.03</v>
      </c>
      <c r="J12" s="936">
        <f t="shared" si="0"/>
        <v>0.03</v>
      </c>
      <c r="K12" s="804">
        <f t="shared" si="0"/>
        <v>0.03</v>
      </c>
      <c r="L12" s="936">
        <f t="shared" si="0"/>
        <v>0.03</v>
      </c>
      <c r="M12" s="936">
        <f t="shared" si="0"/>
        <v>0.03</v>
      </c>
      <c r="N12" s="605"/>
      <c r="O12" s="605"/>
      <c r="P12" s="605"/>
      <c r="Q12" s="605"/>
      <c r="R12" s="605"/>
    </row>
    <row r="13" spans="1:18" s="702" customFormat="1" ht="13.5" customHeight="1">
      <c r="A13" s="605"/>
      <c r="B13" s="605"/>
      <c r="C13" s="805" t="str">
        <f>'Operating Statement'!E20</f>
        <v>TOTAL OTHER INCOME</v>
      </c>
      <c r="D13" s="765"/>
      <c r="E13" s="1004">
        <v>0.02</v>
      </c>
      <c r="F13" s="1004">
        <v>0.02</v>
      </c>
      <c r="G13" s="1004">
        <v>0.02</v>
      </c>
      <c r="H13" s="1004">
        <v>0.02</v>
      </c>
      <c r="I13" s="1004">
        <v>0.02</v>
      </c>
      <c r="J13" s="1004">
        <v>0.02</v>
      </c>
      <c r="K13" s="1005">
        <v>0.02</v>
      </c>
      <c r="L13" s="1004">
        <v>0.02</v>
      </c>
      <c r="M13" s="1004">
        <v>0.02</v>
      </c>
      <c r="N13" s="605"/>
      <c r="O13" s="605"/>
      <c r="P13" s="605"/>
      <c r="Q13" s="605"/>
      <c r="R13" s="605"/>
    </row>
    <row r="14" spans="1:18" s="702" customFormat="1" ht="13.5" customHeight="1">
      <c r="A14" s="605"/>
      <c r="B14" s="605"/>
      <c r="C14" s="806"/>
      <c r="D14" s="944"/>
      <c r="E14" s="940"/>
      <c r="F14" s="940"/>
      <c r="G14" s="940"/>
      <c r="H14" s="940"/>
      <c r="I14" s="937"/>
      <c r="J14" s="937"/>
      <c r="K14" s="807"/>
      <c r="L14" s="937"/>
      <c r="M14" s="937"/>
      <c r="N14" s="605"/>
      <c r="O14" s="605"/>
      <c r="P14" s="605"/>
      <c r="Q14" s="605"/>
      <c r="R14" s="605"/>
    </row>
    <row r="15" spans="1:18" s="702" customFormat="1" ht="13.5" customHeight="1">
      <c r="A15" s="605"/>
      <c r="B15" s="605"/>
      <c r="C15" s="781" t="str">
        <f>'Operating Statement'!E23</f>
        <v>EXPENSES</v>
      </c>
      <c r="D15" s="799" t="str">
        <f>'Operating Statement'!Q4</f>
        <v>Pro Forma</v>
      </c>
      <c r="E15" s="817">
        <f>'Cash Flow'!H3</f>
        <v>46753</v>
      </c>
      <c r="F15" s="817">
        <f>'Cash Flow'!I3</f>
        <v>47119</v>
      </c>
      <c r="G15" s="817">
        <f>'Cash Flow'!J3</f>
        <v>47484</v>
      </c>
      <c r="H15" s="817">
        <f>'Cash Flow'!K3</f>
        <v>47849</v>
      </c>
      <c r="I15" s="817">
        <f>'Cash Flow'!L3</f>
        <v>48214</v>
      </c>
      <c r="J15" s="817">
        <f>'Cash Flow'!M3</f>
        <v>48580</v>
      </c>
      <c r="K15" s="800">
        <f>'Cash Flow'!N3</f>
        <v>48945</v>
      </c>
      <c r="L15" s="817">
        <f>'Cash Flow'!O3</f>
        <v>49310</v>
      </c>
      <c r="M15" s="817">
        <f>'Cash Flow'!P3</f>
        <v>49675</v>
      </c>
      <c r="N15" s="605"/>
      <c r="O15" s="605"/>
      <c r="P15" s="605"/>
      <c r="Q15" s="605"/>
      <c r="R15" s="605"/>
    </row>
    <row r="16" spans="1:18" s="702" customFormat="1" ht="13.5" customHeight="1">
      <c r="A16" s="605"/>
      <c r="B16" s="605"/>
      <c r="C16" s="773" t="str">
        <f>'Cash Flow'!E21</f>
        <v>Operating Expenses</v>
      </c>
      <c r="D16" s="945"/>
      <c r="E16" s="1002">
        <v>0.03</v>
      </c>
      <c r="F16" s="1002">
        <v>0.03</v>
      </c>
      <c r="G16" s="1002">
        <v>0.03</v>
      </c>
      <c r="H16" s="1002">
        <v>0.03</v>
      </c>
      <c r="I16" s="1002">
        <v>0.03</v>
      </c>
      <c r="J16" s="1002">
        <v>0.03</v>
      </c>
      <c r="K16" s="1003">
        <v>0.03</v>
      </c>
      <c r="L16" s="1002">
        <v>0.03</v>
      </c>
      <c r="M16" s="1002">
        <v>0.03</v>
      </c>
      <c r="N16" s="605"/>
      <c r="O16" s="605"/>
      <c r="P16" s="605"/>
      <c r="Q16" s="605"/>
      <c r="R16" s="605"/>
    </row>
    <row r="17" spans="1:18" s="702" customFormat="1" ht="13.5" customHeight="1">
      <c r="A17" s="605"/>
      <c r="B17" s="605"/>
      <c r="C17" s="773" t="str">
        <f>'Cash Flow'!E22</f>
        <v>Real Estate Taxes</v>
      </c>
      <c r="D17" s="945"/>
      <c r="E17" s="1002">
        <v>0.02</v>
      </c>
      <c r="F17" s="1002">
        <v>0.02</v>
      </c>
      <c r="G17" s="1002">
        <v>0.02</v>
      </c>
      <c r="H17" s="1002">
        <v>0.02</v>
      </c>
      <c r="I17" s="1002">
        <v>0.02</v>
      </c>
      <c r="J17" s="1002">
        <v>0.02</v>
      </c>
      <c r="K17" s="1003">
        <v>0.02</v>
      </c>
      <c r="L17" s="1002">
        <v>0.02</v>
      </c>
      <c r="M17" s="1002">
        <v>0.02</v>
      </c>
      <c r="N17" s="605"/>
      <c r="O17" s="605"/>
      <c r="P17" s="605"/>
      <c r="Q17" s="605"/>
      <c r="R17" s="605"/>
    </row>
    <row r="18" spans="1:18" s="702" customFormat="1" ht="13.5" customHeight="1">
      <c r="A18" s="605"/>
      <c r="B18" s="605"/>
      <c r="C18" s="773" t="str">
        <f>'Cash Flow'!E23</f>
        <v>Insurance</v>
      </c>
      <c r="D18" s="945"/>
      <c r="E18" s="1002">
        <v>0.03</v>
      </c>
      <c r="F18" s="1002">
        <v>0.03</v>
      </c>
      <c r="G18" s="1002">
        <v>0.03</v>
      </c>
      <c r="H18" s="1002">
        <v>0.03</v>
      </c>
      <c r="I18" s="1002">
        <v>0.03</v>
      </c>
      <c r="J18" s="1002">
        <v>0.03</v>
      </c>
      <c r="K18" s="1003">
        <v>0.03</v>
      </c>
      <c r="L18" s="1002">
        <v>0.03</v>
      </c>
      <c r="M18" s="1002">
        <v>0.03</v>
      </c>
      <c r="N18" s="605"/>
      <c r="O18" s="605"/>
      <c r="P18" s="605"/>
      <c r="Q18" s="605"/>
      <c r="R18" s="605"/>
    </row>
    <row r="19" spans="1:18" s="702" customFormat="1" ht="13.5" customHeight="1">
      <c r="A19" s="605"/>
      <c r="B19" s="605"/>
      <c r="C19" s="773" t="str">
        <f>'Cash Flow'!E24</f>
        <v>Utilities</v>
      </c>
      <c r="D19" s="945"/>
      <c r="E19" s="1002">
        <v>0.03</v>
      </c>
      <c r="F19" s="1002">
        <v>0.03</v>
      </c>
      <c r="G19" s="1002">
        <v>0.03</v>
      </c>
      <c r="H19" s="1002">
        <v>0.03</v>
      </c>
      <c r="I19" s="1002">
        <v>0.03</v>
      </c>
      <c r="J19" s="1002">
        <v>0.03</v>
      </c>
      <c r="K19" s="1003">
        <v>0.03</v>
      </c>
      <c r="L19" s="1002">
        <v>0.03</v>
      </c>
      <c r="M19" s="1002">
        <v>0.03</v>
      </c>
      <c r="N19" s="605"/>
      <c r="O19" s="605"/>
      <c r="P19" s="605"/>
      <c r="Q19" s="605"/>
      <c r="R19" s="605"/>
    </row>
    <row r="20" spans="1:18" s="702" customFormat="1" ht="13.5" customHeight="1">
      <c r="A20" s="605"/>
      <c r="B20" s="605"/>
      <c r="C20" s="778" t="str">
        <f>'Operating Statement'!E38&amp;" (2)"</f>
        <v>Management Fee (2)</v>
      </c>
      <c r="D20" s="946">
        <f>'Operating Statement'!R38</f>
        <v>0.04</v>
      </c>
      <c r="E20" s="938"/>
      <c r="F20" s="938"/>
      <c r="G20" s="938"/>
      <c r="H20" s="938"/>
      <c r="I20" s="938"/>
      <c r="J20" s="938"/>
      <c r="K20" s="809"/>
      <c r="L20" s="938"/>
      <c r="M20" s="938"/>
      <c r="N20" s="605"/>
      <c r="O20" s="605"/>
      <c r="P20" s="605"/>
      <c r="Q20" s="605"/>
      <c r="R20" s="605"/>
    </row>
    <row r="21" spans="1:18" s="702" customFormat="1" ht="13.5" customHeight="1">
      <c r="A21" s="605"/>
      <c r="B21" s="605"/>
      <c r="C21" s="789" t="s">
        <v>1799</v>
      </c>
      <c r="D21" s="810"/>
      <c r="E21" s="808"/>
      <c r="F21" s="808"/>
      <c r="G21" s="808"/>
      <c r="H21" s="808"/>
      <c r="I21" s="808"/>
      <c r="J21" s="808"/>
      <c r="K21" s="808"/>
      <c r="L21" s="808"/>
      <c r="M21" s="808"/>
      <c r="N21" s="605"/>
      <c r="O21" s="605"/>
      <c r="P21" s="605"/>
      <c r="Q21" s="605"/>
      <c r="R21" s="605"/>
    </row>
    <row r="22" spans="1:18" s="702" customFormat="1" ht="13.5" customHeight="1">
      <c r="A22" s="605"/>
      <c r="B22" s="605"/>
      <c r="C22" s="789" t="s">
        <v>1800</v>
      </c>
      <c r="D22" s="789"/>
      <c r="E22" s="766"/>
      <c r="F22" s="766"/>
      <c r="G22" s="766"/>
      <c r="H22" s="766"/>
      <c r="I22" s="811"/>
      <c r="J22" s="811"/>
      <c r="K22" s="811"/>
      <c r="L22" s="811"/>
      <c r="M22" s="811"/>
      <c r="N22" s="605"/>
      <c r="O22" s="605"/>
      <c r="P22" s="605"/>
      <c r="Q22" s="605"/>
      <c r="R22" s="605"/>
    </row>
    <row r="23" spans="1:18" s="702" customFormat="1" ht="13.5" customHeight="1">
      <c r="A23" s="605"/>
      <c r="B23" s="605"/>
      <c r="C23" s="812"/>
      <c r="D23" s="605"/>
      <c r="E23" s="760"/>
      <c r="F23" s="760"/>
      <c r="G23" s="760"/>
      <c r="H23" s="760"/>
      <c r="I23" s="760"/>
      <c r="J23" s="760"/>
      <c r="K23" s="760"/>
      <c r="L23" s="760"/>
      <c r="M23" s="760"/>
      <c r="N23" s="605"/>
      <c r="O23" s="605"/>
      <c r="P23" s="605"/>
      <c r="Q23" s="605"/>
      <c r="R23" s="605"/>
    </row>
    <row r="24" spans="1:18" s="700" customFormat="1" ht="13.5" customHeight="1">
      <c r="A24" s="598"/>
      <c r="B24" s="598"/>
      <c r="C24" s="598"/>
      <c r="D24" s="598"/>
      <c r="E24" s="598"/>
      <c r="F24" s="598"/>
      <c r="G24" s="635"/>
      <c r="H24" s="635"/>
      <c r="I24" s="635"/>
      <c r="J24" s="635"/>
      <c r="K24" s="635"/>
      <c r="L24" s="635"/>
      <c r="M24" s="635"/>
      <c r="N24" s="635"/>
      <c r="O24" s="598"/>
      <c r="P24" s="598"/>
      <c r="Q24" s="598"/>
      <c r="R24" s="598"/>
    </row>
    <row r="25" spans="1:18" ht="11.25" customHeight="1"/>
    <row r="26" spans="1:18" ht="11.25" customHeight="1"/>
    <row r="27" spans="1:18" ht="11.25" customHeight="1"/>
    <row r="28" spans="1:18" ht="11.25" customHeight="1"/>
    <row r="29" spans="1:18" ht="11.25" customHeight="1"/>
    <row r="36" spans="10:10">
      <c r="J36" s="129"/>
    </row>
  </sheetData>
  <printOptions horizontalCentered="1" verticalCentered="1"/>
  <pageMargins left="0.5" right="0.5" top="1.75" bottom="0.5" header="0" footer="0"/>
  <pageSetup fitToHeight="0" orientation="landscape" cellComments="atEnd" r:id="rId1"/>
  <customProperties>
    <customPr name="GUID"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1" id="{00000000-000E-0000-1400-000001000000}">
            <xm:f>'Operating Statement'!$AB$8:$AB$9="Yes"</xm:f>
            <x14:dxf>
              <fill>
                <patternFill>
                  <bgColor theme="2"/>
                </patternFill>
              </fill>
            </x14:dxf>
          </x14:cfRule>
          <xm:sqref>E5:M7 E9:M11 E13:M13 E16:M19</xm:sqref>
        </x14:conditionalFormatting>
        <x14:conditionalFormatting xmlns:xm="http://schemas.microsoft.com/office/excel/2006/main">
          <x14:cfRule type="expression" priority="3" id="{F33541BE-B14B-4383-9DF7-039D438743B0}">
            <xm:f>Input!$F$8="Disabled"</xm:f>
            <x14:dxf>
              <fill>
                <patternFill patternType="solid">
                  <bgColor theme="0"/>
                </patternFill>
              </fill>
            </x14:dxf>
          </x14:cfRule>
          <xm:sqref>A1 E5:M7 E9:M11 E13:M13 E16:M19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92D050"/>
    <pageSetUpPr fitToPage="1"/>
  </sheetPr>
  <dimension ref="A1:X94"/>
  <sheetViews>
    <sheetView showGridLines="0" zoomScaleNormal="100" zoomScaleSheetLayoutView="140" workbookViewId="0">
      <selection activeCell="G83" sqref="G83"/>
    </sheetView>
  </sheetViews>
  <sheetFormatPr defaultColWidth="8.85546875" defaultRowHeight="11.25"/>
  <cols>
    <col min="1" max="1" width="1.5703125" style="21" customWidth="1"/>
    <col min="2" max="2" width="3.5703125" style="21" customWidth="1"/>
    <col min="3" max="3" width="2.5703125" style="21" customWidth="1"/>
    <col min="4" max="4" width="2.5703125" style="21" hidden="1" customWidth="1"/>
    <col min="5" max="5" width="25.85546875" style="21" customWidth="1"/>
    <col min="6" max="6" width="13.85546875" style="52" customWidth="1"/>
    <col min="7" max="16" width="13.85546875" style="377" customWidth="1"/>
    <col min="17" max="17" width="12.42578125" style="21" bestFit="1" customWidth="1"/>
    <col min="18" max="18" width="8.5703125" style="21" bestFit="1" customWidth="1"/>
    <col min="19" max="19" width="13.140625" style="21" customWidth="1"/>
    <col min="20" max="20" width="23.140625" style="21" hidden="1" customWidth="1"/>
    <col min="21" max="21" width="14.42578125" style="21" customWidth="1"/>
    <col min="22" max="22" width="9.42578125" style="21" customWidth="1"/>
    <col min="23" max="23" width="15.42578125" style="21" customWidth="1"/>
    <col min="24" max="24" width="13" style="21" customWidth="1"/>
    <col min="25" max="16384" width="8.85546875" style="21"/>
  </cols>
  <sheetData>
    <row r="1" spans="1:19" ht="13.5" customHeight="1">
      <c r="A1" s="589"/>
      <c r="B1" s="589"/>
      <c r="C1" s="758"/>
      <c r="D1" s="589"/>
      <c r="E1" s="746" t="s">
        <v>1801</v>
      </c>
      <c r="F1" s="632"/>
      <c r="G1" s="632"/>
      <c r="H1" s="632"/>
      <c r="I1" s="632"/>
      <c r="J1" s="632"/>
      <c r="K1" s="632"/>
      <c r="L1" s="632"/>
      <c r="M1" s="632"/>
      <c r="N1" s="632"/>
      <c r="O1" s="632"/>
      <c r="P1" s="632"/>
      <c r="Q1" s="589"/>
      <c r="R1" s="589"/>
      <c r="S1" s="589"/>
    </row>
    <row r="2" spans="1:19" s="83" customFormat="1" ht="13.5" customHeight="1">
      <c r="A2" s="709"/>
      <c r="B2" s="709"/>
      <c r="C2" s="814"/>
      <c r="D2" s="814"/>
      <c r="E2" s="815"/>
      <c r="F2" s="816"/>
      <c r="G2" s="1625"/>
      <c r="H2" s="1625"/>
      <c r="I2" s="1625"/>
      <c r="J2" s="1625"/>
      <c r="K2" s="1625"/>
      <c r="L2" s="1625"/>
      <c r="M2" s="1625"/>
      <c r="N2" s="1625"/>
      <c r="O2" s="1625"/>
      <c r="P2" s="1625"/>
      <c r="Q2" s="709"/>
      <c r="R2" s="709"/>
      <c r="S2" s="709"/>
    </row>
    <row r="3" spans="1:19" s="150" customFormat="1" ht="13.5" customHeight="1">
      <c r="A3" s="761"/>
      <c r="B3" s="761"/>
      <c r="C3" s="650"/>
      <c r="D3" s="650"/>
      <c r="E3" s="1049" t="s">
        <v>1713</v>
      </c>
      <c r="F3" s="759" t="str">
        <f>'Operating Statement'!O4</f>
        <v>Current</v>
      </c>
      <c r="G3" s="817">
        <f>Debt!C29</f>
        <v>46415</v>
      </c>
      <c r="H3" s="817">
        <f>Debt!D29</f>
        <v>46753</v>
      </c>
      <c r="I3" s="817">
        <f>Debt!E29</f>
        <v>47119</v>
      </c>
      <c r="J3" s="817">
        <f>Debt!F29</f>
        <v>47484</v>
      </c>
      <c r="K3" s="817">
        <f>Debt!G29</f>
        <v>47849</v>
      </c>
      <c r="L3" s="817">
        <f>Debt!H29</f>
        <v>48214</v>
      </c>
      <c r="M3" s="817">
        <f>Debt!I29</f>
        <v>48580</v>
      </c>
      <c r="N3" s="817">
        <f>Debt!J29</f>
        <v>48945</v>
      </c>
      <c r="O3" s="817">
        <f>Debt!K29</f>
        <v>49310</v>
      </c>
      <c r="P3" s="817">
        <f>Debt!L29</f>
        <v>49675</v>
      </c>
      <c r="Q3" s="761"/>
      <c r="R3" s="761"/>
      <c r="S3" s="761"/>
    </row>
    <row r="4" spans="1:19" s="45" customFormat="1" ht="13.5" customHeight="1">
      <c r="A4" s="598"/>
      <c r="B4" s="598"/>
      <c r="C4" s="634"/>
      <c r="D4" s="634"/>
      <c r="E4" s="818" t="str">
        <f>'Operating Statement'!E5</f>
        <v>Rental Income</v>
      </c>
      <c r="F4" s="819"/>
      <c r="G4" s="819"/>
      <c r="H4" s="819"/>
      <c r="I4" s="819"/>
      <c r="J4" s="819"/>
      <c r="K4" s="819"/>
      <c r="L4" s="819"/>
      <c r="M4" s="819"/>
      <c r="N4" s="819"/>
      <c r="O4" s="819"/>
      <c r="P4" s="819"/>
      <c r="Q4" s="820"/>
      <c r="R4" s="598"/>
      <c r="S4" s="598"/>
    </row>
    <row r="5" spans="1:19" s="45" customFormat="1" ht="13.5" customHeight="1">
      <c r="A5" s="598"/>
      <c r="B5" s="598"/>
      <c r="C5" s="634"/>
      <c r="D5" s="634"/>
      <c r="E5" s="772" t="str">
        <f>'Operating Statement'!E6</f>
        <v>Gross Potential Rent</v>
      </c>
      <c r="F5" s="821">
        <f>'Operating Statement'!O6</f>
        <v>878280</v>
      </c>
      <c r="G5" s="821">
        <f>'Operating Statement'!Q6</f>
        <v>878280</v>
      </c>
      <c r="H5" s="821">
        <f>G5*(1+'Growth Rates'!E5)</f>
        <v>922194</v>
      </c>
      <c r="I5" s="821">
        <f>H5*(1+'Growth Rates'!F5)</f>
        <v>959081.76</v>
      </c>
      <c r="J5" s="821">
        <f>I5*(1+'Growth Rates'!G5)</f>
        <v>997445.03040000005</v>
      </c>
      <c r="K5" s="821">
        <f>J5*(1+'Growth Rates'!H5)</f>
        <v>1027368.3813120001</v>
      </c>
      <c r="L5" s="821">
        <f>K5*(1+'Growth Rates'!I5)</f>
        <v>1058189.4327513601</v>
      </c>
      <c r="M5" s="821">
        <f>L5*(1+'Growth Rates'!J5)</f>
        <v>1089935.115733901</v>
      </c>
      <c r="N5" s="821">
        <f>M5*(1+'Growth Rates'!K5)</f>
        <v>1122633.1692059182</v>
      </c>
      <c r="O5" s="821">
        <f>N5*(1+'Growth Rates'!L5)</f>
        <v>1156312.1642820959</v>
      </c>
      <c r="P5" s="821">
        <f>O5*(1+'Growth Rates'!M5)</f>
        <v>1191001.5292105589</v>
      </c>
      <c r="Q5" s="820"/>
      <c r="R5" s="598"/>
      <c r="S5" s="598"/>
    </row>
    <row r="6" spans="1:19" s="45" customFormat="1" ht="13.5" customHeight="1">
      <c r="A6" s="598"/>
      <c r="B6" s="598"/>
      <c r="C6" s="634"/>
      <c r="D6" s="634"/>
      <c r="E6" s="773" t="str">
        <f>'Operating Statement'!E7</f>
        <v>Loss / Gain to Lease</v>
      </c>
      <c r="F6" s="821">
        <f>'Operating Statement'!O7</f>
        <v>-137532</v>
      </c>
      <c r="G6" s="821">
        <f>'Operating Statement'!Q7</f>
        <v>0</v>
      </c>
      <c r="H6" s="821">
        <f>-'Growth Rates'!E6*'Cash Flow'!H5</f>
        <v>-18443.88</v>
      </c>
      <c r="I6" s="821">
        <f>-'Growth Rates'!F6*'Cash Flow'!I5</f>
        <v>-19181.635200000001</v>
      </c>
      <c r="J6" s="821">
        <f>-'Growth Rates'!G6*'Cash Flow'!J5</f>
        <v>-9974.450304</v>
      </c>
      <c r="K6" s="821">
        <f>-'Growth Rates'!H6*'Cash Flow'!K5</f>
        <v>-10273.683813120002</v>
      </c>
      <c r="L6" s="821">
        <f>-'Growth Rates'!I6*'Cash Flow'!L5</f>
        <v>-10581.894327513601</v>
      </c>
      <c r="M6" s="821">
        <f>-'Growth Rates'!J6*'Cash Flow'!M5</f>
        <v>-10899.351157339011</v>
      </c>
      <c r="N6" s="821">
        <f>-'Growth Rates'!K6*'Cash Flow'!N5</f>
        <v>-11226.331692059182</v>
      </c>
      <c r="O6" s="821">
        <f>-'Growth Rates'!L6*'Cash Flow'!O5</f>
        <v>-11563.121642820959</v>
      </c>
      <c r="P6" s="821">
        <f>-'Growth Rates'!M6*'Cash Flow'!P5</f>
        <v>-11910.015292105589</v>
      </c>
      <c r="Q6" s="820"/>
      <c r="R6" s="598"/>
      <c r="S6" s="598"/>
    </row>
    <row r="7" spans="1:19" s="45" customFormat="1" ht="13.5" customHeight="1">
      <c r="A7" s="598"/>
      <c r="B7" s="598"/>
      <c r="C7" s="634"/>
      <c r="D7" s="634"/>
      <c r="E7" s="822" t="str">
        <f>'Operating Statement'!E8</f>
        <v>Gross Scheduled Rent</v>
      </c>
      <c r="F7" s="823">
        <f t="shared" ref="F7:P7" si="0">SUM(F5:F6)</f>
        <v>740748</v>
      </c>
      <c r="G7" s="823">
        <f t="shared" si="0"/>
        <v>878280</v>
      </c>
      <c r="H7" s="823">
        <f t="shared" si="0"/>
        <v>903750.12</v>
      </c>
      <c r="I7" s="823">
        <f t="shared" si="0"/>
        <v>939900.12479999999</v>
      </c>
      <c r="J7" s="823">
        <f t="shared" si="0"/>
        <v>987470.58009599999</v>
      </c>
      <c r="K7" s="823">
        <f t="shared" si="0"/>
        <v>1017094.6974988801</v>
      </c>
      <c r="L7" s="823">
        <f t="shared" si="0"/>
        <v>1047607.5384238465</v>
      </c>
      <c r="M7" s="823">
        <f t="shared" si="0"/>
        <v>1079035.764576562</v>
      </c>
      <c r="N7" s="823">
        <f t="shared" si="0"/>
        <v>1111406.8375138589</v>
      </c>
      <c r="O7" s="823">
        <f t="shared" si="0"/>
        <v>1144749.0426392748</v>
      </c>
      <c r="P7" s="823">
        <f t="shared" si="0"/>
        <v>1179091.5139184534</v>
      </c>
      <c r="Q7" s="820"/>
      <c r="R7" s="598"/>
      <c r="S7" s="598"/>
    </row>
    <row r="8" spans="1:19" s="45" customFormat="1" ht="13.5" customHeight="1">
      <c r="A8" s="598"/>
      <c r="B8" s="598"/>
      <c r="C8" s="634"/>
      <c r="D8" s="634"/>
      <c r="E8" s="772" t="str">
        <f>'Operating Statement'!E9</f>
        <v>Physical Vacancy</v>
      </c>
      <c r="F8" s="821">
        <f>'Operating Statement'!O9</f>
        <v>-37037.4</v>
      </c>
      <c r="G8" s="821">
        <f>'Operating Statement'!Q9</f>
        <v>-43914</v>
      </c>
      <c r="H8" s="821">
        <f>-'Growth Rates'!E7*H7</f>
        <v>-45187.506000000001</v>
      </c>
      <c r="I8" s="821">
        <f>-'Growth Rates'!F7*I7</f>
        <v>-46995.006240000002</v>
      </c>
      <c r="J8" s="821">
        <f>-'Growth Rates'!G7*J7</f>
        <v>-49373.529004800002</v>
      </c>
      <c r="K8" s="821">
        <f>-'Growth Rates'!H7*K7</f>
        <v>-30512.8409249664</v>
      </c>
      <c r="L8" s="821">
        <f>-'Growth Rates'!I7*L7</f>
        <v>-31428.226152715393</v>
      </c>
      <c r="M8" s="821">
        <f>-'Growth Rates'!J7*M7</f>
        <v>-32371.07293729686</v>
      </c>
      <c r="N8" s="821">
        <f>-'Growth Rates'!K7*N7</f>
        <v>-33342.205125415763</v>
      </c>
      <c r="O8" s="821">
        <f>-'Growth Rates'!L7*O7</f>
        <v>-34342.471279178244</v>
      </c>
      <c r="P8" s="821">
        <f>-'Growth Rates'!M7*P7</f>
        <v>-35372.745417553597</v>
      </c>
      <c r="Q8" s="820"/>
      <c r="R8" s="598"/>
      <c r="S8" s="598"/>
    </row>
    <row r="9" spans="1:19" s="45" customFormat="1" ht="13.5" hidden="1" customHeight="1">
      <c r="A9" s="598"/>
      <c r="B9" s="598"/>
      <c r="C9" s="634"/>
      <c r="D9" s="634"/>
      <c r="E9" s="772" t="str">
        <f>'Operating Statement'!E10</f>
        <v>Economic Vacancy</v>
      </c>
      <c r="F9" s="819"/>
      <c r="G9" s="819"/>
      <c r="H9" s="824"/>
      <c r="I9" s="824"/>
      <c r="J9" s="825"/>
      <c r="K9" s="825"/>
      <c r="L9" s="825"/>
      <c r="M9" s="825"/>
      <c r="N9" s="825"/>
      <c r="O9" s="825"/>
      <c r="P9" s="825"/>
      <c r="Q9" s="820"/>
      <c r="R9" s="598"/>
      <c r="S9" s="598"/>
    </row>
    <row r="10" spans="1:19" s="45" customFormat="1" ht="13.5" hidden="1" customHeight="1">
      <c r="A10" s="598"/>
      <c r="B10" s="598"/>
      <c r="C10" s="634"/>
      <c r="D10" s="634"/>
      <c r="E10" s="773" t="str">
        <f>'Operating Statement'!E11</f>
        <v>Non-Revenue Units</v>
      </c>
      <c r="F10" s="821">
        <f>'Operating Statement'!O11</f>
        <v>0</v>
      </c>
      <c r="G10" s="821">
        <f>'Operating Statement'!Q11</f>
        <v>0</v>
      </c>
      <c r="H10" s="821">
        <f>-'Growth Rates'!E9*'Cash Flow'!H7</f>
        <v>0</v>
      </c>
      <c r="I10" s="821">
        <f>-'Growth Rates'!F9*'Cash Flow'!I7</f>
        <v>0</v>
      </c>
      <c r="J10" s="821">
        <f>-'Growth Rates'!G9*'Cash Flow'!J7</f>
        <v>0</v>
      </c>
      <c r="K10" s="821">
        <f>-'Growth Rates'!H9*'Cash Flow'!K7</f>
        <v>0</v>
      </c>
      <c r="L10" s="821">
        <f>-'Growth Rates'!I9*'Cash Flow'!L7</f>
        <v>0</v>
      </c>
      <c r="M10" s="821">
        <f>-'Growth Rates'!J9*'Cash Flow'!M7</f>
        <v>0</v>
      </c>
      <c r="N10" s="821">
        <f>-'Growth Rates'!K9*'Cash Flow'!N7</f>
        <v>0</v>
      </c>
      <c r="O10" s="821">
        <f>-'Growth Rates'!L9*'Cash Flow'!O7</f>
        <v>0</v>
      </c>
      <c r="P10" s="821">
        <f>-'Growth Rates'!M9*'Cash Flow'!P7</f>
        <v>0</v>
      </c>
      <c r="Q10" s="820"/>
      <c r="R10" s="598"/>
      <c r="S10" s="598"/>
    </row>
    <row r="11" spans="1:19" s="45" customFormat="1" ht="13.5" hidden="1" customHeight="1">
      <c r="A11" s="598"/>
      <c r="B11" s="598"/>
      <c r="C11" s="634"/>
      <c r="D11" s="634"/>
      <c r="E11" s="773" t="str">
        <f>'Operating Statement'!E12</f>
        <v>Bad Debt</v>
      </c>
      <c r="F11" s="821">
        <f>'Operating Statement'!O12</f>
        <v>0</v>
      </c>
      <c r="G11" s="821">
        <f>'Operating Statement'!Q12</f>
        <v>0</v>
      </c>
      <c r="H11" s="821">
        <f>-'Growth Rates'!E10*'Cash Flow'!H7</f>
        <v>0</v>
      </c>
      <c r="I11" s="821">
        <f>-'Growth Rates'!F10*'Cash Flow'!I7</f>
        <v>0</v>
      </c>
      <c r="J11" s="821">
        <f>-'Growth Rates'!G10*'Cash Flow'!J7</f>
        <v>0</v>
      </c>
      <c r="K11" s="821">
        <f>-'Growth Rates'!H10*'Cash Flow'!K7</f>
        <v>0</v>
      </c>
      <c r="L11" s="821">
        <f>-'Growth Rates'!I10*'Cash Flow'!L7</f>
        <v>0</v>
      </c>
      <c r="M11" s="821">
        <f>-'Growth Rates'!J10*'Cash Flow'!M7</f>
        <v>0</v>
      </c>
      <c r="N11" s="821">
        <f>-'Growth Rates'!K10*'Cash Flow'!N7</f>
        <v>0</v>
      </c>
      <c r="O11" s="821">
        <f>-'Growth Rates'!L10*'Cash Flow'!O7</f>
        <v>0</v>
      </c>
      <c r="P11" s="821">
        <f>-'Growth Rates'!M10*'Cash Flow'!P7</f>
        <v>0</v>
      </c>
      <c r="Q11" s="820"/>
      <c r="R11" s="598"/>
      <c r="S11" s="598"/>
    </row>
    <row r="12" spans="1:19" s="45" customFormat="1" ht="13.5" hidden="1" customHeight="1">
      <c r="A12" s="598"/>
      <c r="B12" s="598"/>
      <c r="C12" s="634"/>
      <c r="D12" s="634"/>
      <c r="E12" s="773" t="str">
        <f>'Operating Statement'!E13</f>
        <v>Concession</v>
      </c>
      <c r="F12" s="821">
        <f>'Operating Statement'!O13</f>
        <v>0</v>
      </c>
      <c r="G12" s="821">
        <f>'Operating Statement'!Q13</f>
        <v>0</v>
      </c>
      <c r="H12" s="821">
        <f>-'Growth Rates'!E11*'Cash Flow'!H7</f>
        <v>0</v>
      </c>
      <c r="I12" s="821">
        <f>-'Growth Rates'!F11*'Cash Flow'!I7</f>
        <v>0</v>
      </c>
      <c r="J12" s="821">
        <f>-'Growth Rates'!G11*'Cash Flow'!J7</f>
        <v>0</v>
      </c>
      <c r="K12" s="821">
        <f>-'Growth Rates'!H11*'Cash Flow'!K7</f>
        <v>0</v>
      </c>
      <c r="L12" s="821">
        <f>-'Growth Rates'!I11*'Cash Flow'!L7</f>
        <v>0</v>
      </c>
      <c r="M12" s="821">
        <f>-'Growth Rates'!J11*'Cash Flow'!M7</f>
        <v>0</v>
      </c>
      <c r="N12" s="821">
        <f>-'Growth Rates'!K11*'Cash Flow'!N7</f>
        <v>0</v>
      </c>
      <c r="O12" s="821">
        <f>-'Growth Rates'!L11*'Cash Flow'!O7</f>
        <v>0</v>
      </c>
      <c r="P12" s="821">
        <f>-'Growth Rates'!M11*'Cash Flow'!P7</f>
        <v>0</v>
      </c>
      <c r="Q12" s="820"/>
      <c r="R12" s="598"/>
      <c r="S12" s="598"/>
    </row>
    <row r="13" spans="1:19" s="45" customFormat="1" ht="13.5" customHeight="1">
      <c r="A13" s="598"/>
      <c r="B13" s="598"/>
      <c r="C13" s="634"/>
      <c r="D13" s="634"/>
      <c r="E13" s="1134" t="str">
        <f>'Operating Statement'!E14</f>
        <v>TOTAL VACANCY</v>
      </c>
      <c r="F13" s="1135">
        <f>SUM(F8:F12)</f>
        <v>-37037.4</v>
      </c>
      <c r="G13" s="1135">
        <f t="shared" ref="G13:P13" si="1">SUM(G8:G12)</f>
        <v>-43914</v>
      </c>
      <c r="H13" s="1135">
        <f t="shared" si="1"/>
        <v>-45187.506000000001</v>
      </c>
      <c r="I13" s="1135">
        <f t="shared" si="1"/>
        <v>-46995.006240000002</v>
      </c>
      <c r="J13" s="1135">
        <f t="shared" si="1"/>
        <v>-49373.529004800002</v>
      </c>
      <c r="K13" s="1135">
        <f t="shared" si="1"/>
        <v>-30512.8409249664</v>
      </c>
      <c r="L13" s="1135">
        <f t="shared" si="1"/>
        <v>-31428.226152715393</v>
      </c>
      <c r="M13" s="1135">
        <f t="shared" si="1"/>
        <v>-32371.07293729686</v>
      </c>
      <c r="N13" s="1135">
        <f t="shared" si="1"/>
        <v>-33342.205125415763</v>
      </c>
      <c r="O13" s="1135">
        <f t="shared" si="1"/>
        <v>-34342.471279178244</v>
      </c>
      <c r="P13" s="1135">
        <f t="shared" si="1"/>
        <v>-35372.745417553597</v>
      </c>
      <c r="Q13" s="820"/>
      <c r="R13" s="598"/>
      <c r="S13" s="598"/>
    </row>
    <row r="14" spans="1:19" s="45" customFormat="1" ht="13.5" customHeight="1">
      <c r="A14" s="598"/>
      <c r="B14" s="598"/>
      <c r="C14" s="634"/>
      <c r="D14" s="634"/>
      <c r="E14" s="822" t="str">
        <f>'Operating Statement'!E16</f>
        <v>Effective Rental Income</v>
      </c>
      <c r="F14" s="823">
        <f t="shared" ref="F14:P14" si="2">+F7+F13</f>
        <v>703710.6</v>
      </c>
      <c r="G14" s="823">
        <f t="shared" si="2"/>
        <v>834366</v>
      </c>
      <c r="H14" s="823">
        <f t="shared" si="2"/>
        <v>858562.61399999994</v>
      </c>
      <c r="I14" s="823">
        <f t="shared" si="2"/>
        <v>892905.11855999997</v>
      </c>
      <c r="J14" s="823">
        <f t="shared" si="2"/>
        <v>938097.05109119997</v>
      </c>
      <c r="K14" s="823">
        <f t="shared" si="2"/>
        <v>986581.85657391371</v>
      </c>
      <c r="L14" s="823">
        <f t="shared" si="2"/>
        <v>1016179.3122711311</v>
      </c>
      <c r="M14" s="823">
        <f t="shared" si="2"/>
        <v>1046664.6916392652</v>
      </c>
      <c r="N14" s="823">
        <f t="shared" si="2"/>
        <v>1078064.6323884432</v>
      </c>
      <c r="O14" s="823">
        <f t="shared" si="2"/>
        <v>1110406.5713600966</v>
      </c>
      <c r="P14" s="823">
        <f t="shared" si="2"/>
        <v>1143718.7685008997</v>
      </c>
      <c r="Q14" s="820"/>
      <c r="R14" s="598"/>
      <c r="S14" s="598"/>
    </row>
    <row r="15" spans="1:19" s="45" customFormat="1" ht="13.5" customHeight="1">
      <c r="A15" s="598"/>
      <c r="B15" s="598"/>
      <c r="C15" s="634"/>
      <c r="D15" s="634"/>
      <c r="E15" s="772" t="str">
        <f>'Operating Statement'!E17</f>
        <v>Other Income</v>
      </c>
      <c r="F15" s="819"/>
      <c r="G15" s="819"/>
      <c r="H15" s="819"/>
      <c r="I15" s="819"/>
      <c r="J15" s="819"/>
      <c r="K15" s="819"/>
      <c r="L15" s="819"/>
      <c r="M15" s="819"/>
      <c r="N15" s="819"/>
      <c r="O15" s="819"/>
      <c r="P15" s="819"/>
      <c r="Q15" s="820"/>
      <c r="R15" s="598"/>
      <c r="S15" s="598"/>
    </row>
    <row r="16" spans="1:19" s="45" customFormat="1" ht="13.5" hidden="1" customHeight="1">
      <c r="A16" s="598"/>
      <c r="B16" s="598"/>
      <c r="C16" s="634"/>
      <c r="D16" s="634"/>
      <c r="E16" s="773" t="str">
        <f>'Operating Statement'!E18</f>
        <v>Utility Bill-Back</v>
      </c>
      <c r="F16" s="821">
        <f>'Operating Statement'!O18</f>
        <v>0</v>
      </c>
      <c r="G16" s="821">
        <f>'Operating Statement'!Q18</f>
        <v>0</v>
      </c>
      <c r="H16" s="821">
        <f>G16*(1+'Growth Rates'!E13)</f>
        <v>0</v>
      </c>
      <c r="I16" s="821">
        <f>H16*(1+'Growth Rates'!F13)</f>
        <v>0</v>
      </c>
      <c r="J16" s="821">
        <f>I16*(1+'Growth Rates'!G13)</f>
        <v>0</v>
      </c>
      <c r="K16" s="821">
        <f>J16*(1+'Growth Rates'!H13)</f>
        <v>0</v>
      </c>
      <c r="L16" s="821">
        <f>K16*(1+'Growth Rates'!I13)</f>
        <v>0</v>
      </c>
      <c r="M16" s="821">
        <f>L16*(1+'Growth Rates'!J13)</f>
        <v>0</v>
      </c>
      <c r="N16" s="821">
        <f>M16*(1+'Growth Rates'!K13)</f>
        <v>0</v>
      </c>
      <c r="O16" s="821">
        <f>N16*(1+'Growth Rates'!L13)</f>
        <v>0</v>
      </c>
      <c r="P16" s="821">
        <f>O16*(1+'Growth Rates'!M13)</f>
        <v>0</v>
      </c>
      <c r="Q16" s="820"/>
      <c r="R16" s="598"/>
      <c r="S16" s="598"/>
    </row>
    <row r="17" spans="1:20" s="45" customFormat="1" ht="13.5" customHeight="1">
      <c r="A17" s="598"/>
      <c r="B17" s="598"/>
      <c r="C17" s="634"/>
      <c r="D17" s="634"/>
      <c r="E17" s="773" t="str">
        <f>'Operating Statement'!E19</f>
        <v>All Other Income</v>
      </c>
      <c r="F17" s="821">
        <f>'Operating Statement'!O19</f>
        <v>5820</v>
      </c>
      <c r="G17" s="821">
        <f>'Operating Statement'!Q19</f>
        <v>5820</v>
      </c>
      <c r="H17" s="821">
        <f>G17*(1+'Growth Rates'!E13)</f>
        <v>5936.4000000000005</v>
      </c>
      <c r="I17" s="821">
        <f>H17*(1+'Growth Rates'!F13)</f>
        <v>6055.1280000000006</v>
      </c>
      <c r="J17" s="821">
        <f>I17*(1+'Growth Rates'!G13)</f>
        <v>6176.2305600000009</v>
      </c>
      <c r="K17" s="821">
        <f>J17*(1+'Growth Rates'!H13)</f>
        <v>6299.7551712000013</v>
      </c>
      <c r="L17" s="821">
        <f>K17*(1+'Growth Rates'!I13)</f>
        <v>6425.7502746240016</v>
      </c>
      <c r="M17" s="821">
        <f>L17*(1+'Growth Rates'!J13)</f>
        <v>6554.2652801164813</v>
      </c>
      <c r="N17" s="821">
        <f>M17*(1+'Growth Rates'!K13)</f>
        <v>6685.3505857188111</v>
      </c>
      <c r="O17" s="821">
        <f>N17*(1+'Growth Rates'!L13)</f>
        <v>6819.0575974331878</v>
      </c>
      <c r="P17" s="821">
        <f>O17*(1+'Growth Rates'!M13)</f>
        <v>6955.4387493818513</v>
      </c>
      <c r="Q17" s="820"/>
      <c r="R17" s="598"/>
      <c r="S17" s="598"/>
    </row>
    <row r="18" spans="1:20" s="45" customFormat="1" ht="13.5" customHeight="1">
      <c r="A18" s="598"/>
      <c r="B18" s="598"/>
      <c r="C18" s="634"/>
      <c r="D18" s="634"/>
      <c r="E18" s="826" t="str">
        <f>'Operating Statement'!E20</f>
        <v>TOTAL OTHER INCOME</v>
      </c>
      <c r="F18" s="827">
        <f>'Operating Statement'!O20</f>
        <v>5820</v>
      </c>
      <c r="G18" s="827">
        <f>'Operating Statement'!Q20</f>
        <v>5820</v>
      </c>
      <c r="H18" s="827">
        <f>G18*(1+'Growth Rates'!E13)</f>
        <v>5936.4000000000005</v>
      </c>
      <c r="I18" s="827">
        <f>H18*(1+'Growth Rates'!F13)</f>
        <v>6055.1280000000006</v>
      </c>
      <c r="J18" s="827">
        <f>I18*(1+'Growth Rates'!G13)</f>
        <v>6176.2305600000009</v>
      </c>
      <c r="K18" s="827">
        <f>J18*(1+'Growth Rates'!H13)</f>
        <v>6299.7551712000013</v>
      </c>
      <c r="L18" s="827">
        <f>K18*(1+'Growth Rates'!I13)</f>
        <v>6425.7502746240016</v>
      </c>
      <c r="M18" s="827">
        <f>L18*(1+'Growth Rates'!J13)</f>
        <v>6554.2652801164813</v>
      </c>
      <c r="N18" s="827">
        <f>M18*(1+'Growth Rates'!K13)</f>
        <v>6685.3505857188111</v>
      </c>
      <c r="O18" s="827">
        <f>N18*(1+'Growth Rates'!L13)</f>
        <v>6819.0575974331878</v>
      </c>
      <c r="P18" s="827">
        <f>O18*(1+'Growth Rates'!M13)</f>
        <v>6955.4387493818513</v>
      </c>
      <c r="Q18" s="820"/>
      <c r="R18" s="598"/>
      <c r="S18" s="598"/>
    </row>
    <row r="19" spans="1:20" s="45" customFormat="1" ht="13.5" customHeight="1">
      <c r="A19" s="598"/>
      <c r="B19" s="598"/>
      <c r="C19" s="634"/>
      <c r="D19" s="634"/>
      <c r="E19" s="828" t="str">
        <f>'Operating Statement'!E21</f>
        <v>EFFECTIVE GROSS INCOME</v>
      </c>
      <c r="F19" s="829">
        <f>F14+F18</f>
        <v>709530.6</v>
      </c>
      <c r="G19" s="829">
        <f t="shared" ref="G19:P19" si="3">G14+G18</f>
        <v>840186</v>
      </c>
      <c r="H19" s="829">
        <f t="shared" si="3"/>
        <v>864499.01399999997</v>
      </c>
      <c r="I19" s="829">
        <f t="shared" si="3"/>
        <v>898960.24656</v>
      </c>
      <c r="J19" s="829">
        <f t="shared" si="3"/>
        <v>944273.28165120003</v>
      </c>
      <c r="K19" s="829">
        <f t="shared" si="3"/>
        <v>992881.61174511374</v>
      </c>
      <c r="L19" s="829">
        <f t="shared" si="3"/>
        <v>1022605.0625457551</v>
      </c>
      <c r="M19" s="829">
        <f t="shared" si="3"/>
        <v>1053218.9569193816</v>
      </c>
      <c r="N19" s="829">
        <f t="shared" si="3"/>
        <v>1084749.9829741621</v>
      </c>
      <c r="O19" s="829">
        <f t="shared" si="3"/>
        <v>1117225.6289575298</v>
      </c>
      <c r="P19" s="829">
        <f t="shared" si="3"/>
        <v>1150674.2072502815</v>
      </c>
      <c r="Q19" s="820"/>
      <c r="R19" s="598"/>
      <c r="S19" s="598"/>
    </row>
    <row r="20" spans="1:20" s="148" customFormat="1" ht="13.5" customHeight="1">
      <c r="A20" s="598"/>
      <c r="B20" s="598"/>
      <c r="C20" s="634"/>
      <c r="D20" s="634"/>
      <c r="E20" s="1626" t="s">
        <v>1736</v>
      </c>
      <c r="F20" s="1626"/>
      <c r="G20" s="1626"/>
      <c r="H20" s="1626"/>
      <c r="I20" s="1626"/>
      <c r="J20" s="1626"/>
      <c r="K20" s="1626"/>
      <c r="L20" s="1626"/>
      <c r="M20" s="1626"/>
      <c r="N20" s="1626"/>
      <c r="O20" s="1626"/>
      <c r="P20" s="1626"/>
      <c r="Q20" s="633"/>
      <c r="R20" s="598"/>
      <c r="S20" s="598"/>
    </row>
    <row r="21" spans="1:20" s="45" customFormat="1" ht="13.5" customHeight="1">
      <c r="A21" s="598"/>
      <c r="B21" s="598"/>
      <c r="C21" s="634"/>
      <c r="D21" s="634"/>
      <c r="E21" s="773" t="s">
        <v>1739</v>
      </c>
      <c r="F21" s="821">
        <f>-SUM('Operating Statement'!O29:O36)</f>
        <v>-69609.64</v>
      </c>
      <c r="G21" s="821">
        <f>-SUM('Operating Statement'!Q29:Q36)</f>
        <v>-69609.64</v>
      </c>
      <c r="H21" s="821">
        <f>G21*(1+'Growth Rates'!E16)</f>
        <v>-71697.929199999999</v>
      </c>
      <c r="I21" s="821">
        <f>H21*(1+'Growth Rates'!F16)</f>
        <v>-73848.867075999995</v>
      </c>
      <c r="J21" s="821">
        <f>I21*(1+'Growth Rates'!G16)</f>
        <v>-76064.333088279993</v>
      </c>
      <c r="K21" s="821">
        <f>J21*(1+'Growth Rates'!H16)</f>
        <v>-78346.263080928387</v>
      </c>
      <c r="L21" s="821">
        <f>K21*(1+'Growth Rates'!I16)</f>
        <v>-80696.650973356242</v>
      </c>
      <c r="M21" s="821">
        <f>L21*(1+'Growth Rates'!J16)</f>
        <v>-83117.550502556929</v>
      </c>
      <c r="N21" s="821">
        <f>M21*(1+'Growth Rates'!K16)</f>
        <v>-85611.077017633637</v>
      </c>
      <c r="O21" s="821">
        <f>N21*(1+'Growth Rates'!L16)</f>
        <v>-88179.409328162656</v>
      </c>
      <c r="P21" s="821">
        <f>O21*(1+'Growth Rates'!M16)</f>
        <v>-90824.791608007537</v>
      </c>
      <c r="Q21" s="820"/>
      <c r="R21" s="598"/>
      <c r="S21" s="598"/>
    </row>
    <row r="22" spans="1:20" s="45" customFormat="1" ht="13.5" customHeight="1">
      <c r="A22" s="598"/>
      <c r="B22" s="598"/>
      <c r="C22" s="634"/>
      <c r="D22" s="634"/>
      <c r="E22" s="773" t="str">
        <f>'Operating Statement'!E24</f>
        <v>Real Estate Taxes</v>
      </c>
      <c r="F22" s="821">
        <f>-'Operating Statement'!O24</f>
        <v>-105655</v>
      </c>
      <c r="G22" s="821">
        <f>-'Operating Statement'!Q24</f>
        <v>-105655</v>
      </c>
      <c r="H22" s="821">
        <f>G22*(1+'Growth Rates'!E17)</f>
        <v>-107768.1</v>
      </c>
      <c r="I22" s="821">
        <f>H22*(1+'Growth Rates'!F17)</f>
        <v>-109923.46200000001</v>
      </c>
      <c r="J22" s="821">
        <f>I22*(1+'Growth Rates'!G17)</f>
        <v>-112121.93124000002</v>
      </c>
      <c r="K22" s="821">
        <f>J22*(1+'Growth Rates'!H17)</f>
        <v>-114364.36986480003</v>
      </c>
      <c r="L22" s="821">
        <f>K22*(1+'Growth Rates'!I17)</f>
        <v>-116651.65726209604</v>
      </c>
      <c r="M22" s="821">
        <f>L22*(1+'Growth Rates'!J17)</f>
        <v>-118984.69040733796</v>
      </c>
      <c r="N22" s="821">
        <f>M22*(1+'Growth Rates'!K17)</f>
        <v>-121364.38421548472</v>
      </c>
      <c r="O22" s="821">
        <f>N22*(1+'Growth Rates'!L17)</f>
        <v>-123791.67189979443</v>
      </c>
      <c r="P22" s="821">
        <f>O22*(1+'Growth Rates'!M17)</f>
        <v>-126267.50533779032</v>
      </c>
      <c r="Q22" s="820"/>
      <c r="R22" s="598"/>
      <c r="S22" s="598"/>
    </row>
    <row r="23" spans="1:20" s="45" customFormat="1" ht="13.5" customHeight="1">
      <c r="A23" s="598"/>
      <c r="B23" s="598"/>
      <c r="C23" s="634"/>
      <c r="D23" s="634"/>
      <c r="E23" s="773" t="str">
        <f>'Operating Statement'!E25</f>
        <v>Insurance</v>
      </c>
      <c r="F23" s="821">
        <f>-'Operating Statement'!O25</f>
        <v>-28074</v>
      </c>
      <c r="G23" s="821">
        <f>-'Operating Statement'!Q25</f>
        <v>-28074</v>
      </c>
      <c r="H23" s="821">
        <f>G23*(1+'Growth Rates'!E18)</f>
        <v>-28916.22</v>
      </c>
      <c r="I23" s="821">
        <f>H23*(1+'Growth Rates'!F18)</f>
        <v>-29783.706600000001</v>
      </c>
      <c r="J23" s="821">
        <f>I23*(1+'Growth Rates'!G18)</f>
        <v>-30677.217798000001</v>
      </c>
      <c r="K23" s="821">
        <f>J23*(1+'Growth Rates'!H18)</f>
        <v>-31597.534331940002</v>
      </c>
      <c r="L23" s="821">
        <f>K23*(1+'Growth Rates'!I18)</f>
        <v>-32545.460361898204</v>
      </c>
      <c r="M23" s="821">
        <f>L23*(1+'Growth Rates'!J18)</f>
        <v>-33521.82417275515</v>
      </c>
      <c r="N23" s="821">
        <f>M23*(1+'Growth Rates'!K18)</f>
        <v>-34527.478897937806</v>
      </c>
      <c r="O23" s="821">
        <f>N23*(1+'Growth Rates'!L18)</f>
        <v>-35563.30326487594</v>
      </c>
      <c r="P23" s="821">
        <f>O23*(1+'Growth Rates'!M18)</f>
        <v>-36630.202362822216</v>
      </c>
      <c r="Q23" s="820"/>
      <c r="R23" s="598"/>
      <c r="S23" s="598"/>
    </row>
    <row r="24" spans="1:20" s="45" customFormat="1" ht="13.5" customHeight="1">
      <c r="A24" s="598"/>
      <c r="B24" s="598"/>
      <c r="C24" s="634"/>
      <c r="D24" s="634"/>
      <c r="E24" s="773" t="s">
        <v>77</v>
      </c>
      <c r="F24" s="821">
        <f>-SUM('Operating Statement'!O26:O28)</f>
        <v>-27924.68</v>
      </c>
      <c r="G24" s="821">
        <f>-SUM('Operating Statement'!Q26:Q28)</f>
        <v>-27924.68</v>
      </c>
      <c r="H24" s="821">
        <f>G24*(1+'Growth Rates'!E19)</f>
        <v>-28762.420400000003</v>
      </c>
      <c r="I24" s="821">
        <f>H24*(1+'Growth Rates'!F19)</f>
        <v>-29625.293012000002</v>
      </c>
      <c r="J24" s="821">
        <f>I24*(1+'Growth Rates'!G19)</f>
        <v>-30514.051802360002</v>
      </c>
      <c r="K24" s="821">
        <f>J24*(1+'Growth Rates'!H19)</f>
        <v>-31429.473356430801</v>
      </c>
      <c r="L24" s="821">
        <f>K24*(1+'Growth Rates'!I19)</f>
        <v>-32372.357557123727</v>
      </c>
      <c r="M24" s="821">
        <f>L24*(1+'Growth Rates'!J19)</f>
        <v>-33343.528283837441</v>
      </c>
      <c r="N24" s="821">
        <f>M24*(1+'Growth Rates'!K19)</f>
        <v>-34343.834132352567</v>
      </c>
      <c r="O24" s="821">
        <f>N24*(1+'Growth Rates'!L19)</f>
        <v>-35374.149156323147</v>
      </c>
      <c r="P24" s="821">
        <f>O24*(1+'Growth Rates'!M19)</f>
        <v>-36435.373631012844</v>
      </c>
      <c r="Q24" s="820"/>
      <c r="R24" s="598"/>
      <c r="S24" s="598"/>
    </row>
    <row r="25" spans="1:20" s="45" customFormat="1" ht="13.5" customHeight="1">
      <c r="A25" s="598"/>
      <c r="B25" s="598"/>
      <c r="C25" s="634"/>
      <c r="D25" s="634"/>
      <c r="E25" s="773" t="str">
        <f>'Operating Statement'!E38</f>
        <v>Management Fee</v>
      </c>
      <c r="F25" s="821">
        <f>-'Operating Statement'!O38</f>
        <v>-28381.223999999998</v>
      </c>
      <c r="G25" s="821">
        <f>-'Operating Statement'!Q38</f>
        <v>-33607.440000000002</v>
      </c>
      <c r="H25" s="821">
        <f>-H19*'Growth Rates'!$D$20</f>
        <v>-34579.96056</v>
      </c>
      <c r="I25" s="821">
        <f>-I19*'Growth Rates'!$D$20</f>
        <v>-35958.409862400003</v>
      </c>
      <c r="J25" s="821">
        <f>-J19*'Growth Rates'!$D$20</f>
        <v>-37770.931266047999</v>
      </c>
      <c r="K25" s="821">
        <f>-K19*'Growth Rates'!$D$20</f>
        <v>-39715.264469804548</v>
      </c>
      <c r="L25" s="821">
        <f>-L19*'Growth Rates'!$D$20</f>
        <v>-40904.202501830201</v>
      </c>
      <c r="M25" s="821">
        <f>-M19*'Growth Rates'!$D$20</f>
        <v>-42128.758276775268</v>
      </c>
      <c r="N25" s="821">
        <f>-N19*'Growth Rates'!$D$20</f>
        <v>-43389.999318966482</v>
      </c>
      <c r="O25" s="821">
        <f>-O19*'Growth Rates'!$D$20</f>
        <v>-44689.025158301192</v>
      </c>
      <c r="P25" s="821">
        <f>-P19*'Growth Rates'!$D$20</f>
        <v>-46026.96829001126</v>
      </c>
      <c r="Q25" s="820"/>
      <c r="R25" s="598"/>
      <c r="S25" s="598"/>
    </row>
    <row r="26" spans="1:20" s="45" customFormat="1" ht="13.5" customHeight="1">
      <c r="A26" s="598"/>
      <c r="B26" s="598"/>
      <c r="C26" s="634"/>
      <c r="D26" s="634"/>
      <c r="E26" s="771" t="s">
        <v>1776</v>
      </c>
      <c r="F26" s="830">
        <f>SUM(F21:F25)</f>
        <v>-259644.54399999999</v>
      </c>
      <c r="G26" s="830">
        <f t="shared" ref="G26:P26" si="4">SUM(G21:G25)</f>
        <v>-264870.76</v>
      </c>
      <c r="H26" s="830">
        <f t="shared" si="4"/>
        <v>-271724.63016</v>
      </c>
      <c r="I26" s="830">
        <f t="shared" si="4"/>
        <v>-279139.73855040001</v>
      </c>
      <c r="J26" s="830">
        <f t="shared" si="4"/>
        <v>-287148.465194688</v>
      </c>
      <c r="K26" s="830">
        <f t="shared" si="4"/>
        <v>-295452.90510390379</v>
      </c>
      <c r="L26" s="830">
        <f t="shared" si="4"/>
        <v>-303170.32865630439</v>
      </c>
      <c r="M26" s="830">
        <f t="shared" si="4"/>
        <v>-311096.35164326272</v>
      </c>
      <c r="N26" s="830">
        <f t="shared" si="4"/>
        <v>-319236.7735823752</v>
      </c>
      <c r="O26" s="830">
        <f t="shared" si="4"/>
        <v>-327597.55880745739</v>
      </c>
      <c r="P26" s="830">
        <f t="shared" si="4"/>
        <v>-336184.8412296442</v>
      </c>
      <c r="Q26" s="820"/>
      <c r="R26" s="598"/>
      <c r="S26" s="598"/>
    </row>
    <row r="27" spans="1:20" s="45" customFormat="1" ht="13.5" customHeight="1">
      <c r="A27" s="598"/>
      <c r="B27" s="598"/>
      <c r="C27" s="634"/>
      <c r="D27" s="634"/>
      <c r="E27" s="771" t="str">
        <f>+'Operating Statement'!E37</f>
        <v>Operating Reserves</v>
      </c>
      <c r="F27" s="830">
        <f>-'Operating Statement'!$O$37</f>
        <v>-4050</v>
      </c>
      <c r="G27" s="830">
        <f>-'Operating Statement'!$Q$37</f>
        <v>-4050</v>
      </c>
      <c r="H27" s="830">
        <f>-'Operating Statement'!$Q$37</f>
        <v>-4050</v>
      </c>
      <c r="I27" s="830">
        <f>-'Operating Statement'!$Q$37</f>
        <v>-4050</v>
      </c>
      <c r="J27" s="830">
        <f>-'Operating Statement'!$Q$37</f>
        <v>-4050</v>
      </c>
      <c r="K27" s="830">
        <f>-'Operating Statement'!$Q$37</f>
        <v>-4050</v>
      </c>
      <c r="L27" s="830">
        <f>-'Operating Statement'!$Q$37</f>
        <v>-4050</v>
      </c>
      <c r="M27" s="830">
        <f>-'Operating Statement'!$Q$37</f>
        <v>-4050</v>
      </c>
      <c r="N27" s="830">
        <f>-'Operating Statement'!$Q$37</f>
        <v>-4050</v>
      </c>
      <c r="O27" s="830">
        <f>-'Operating Statement'!$Q$37</f>
        <v>-4050</v>
      </c>
      <c r="P27" s="830">
        <f>-'Operating Statement'!$Q$37</f>
        <v>-4050</v>
      </c>
      <c r="Q27" s="820"/>
      <c r="R27" s="598"/>
      <c r="S27" s="598"/>
      <c r="T27" s="45" t="s">
        <v>1802</v>
      </c>
    </row>
    <row r="28" spans="1:20" s="45" customFormat="1" ht="13.5" customHeight="1">
      <c r="A28" s="598"/>
      <c r="B28" s="598"/>
      <c r="C28" s="634"/>
      <c r="D28" s="634"/>
      <c r="E28" s="822" t="str">
        <f>'Operating Statement'!E41</f>
        <v>NET OPERATING INCOME</v>
      </c>
      <c r="F28" s="823">
        <f>+F19+F26+F27</f>
        <v>445836.05599999998</v>
      </c>
      <c r="G28" s="823">
        <f t="shared" ref="G28:P28" si="5">+G19+G26+G27</f>
        <v>571265.24</v>
      </c>
      <c r="H28" s="823">
        <f t="shared" si="5"/>
        <v>588724.38384000002</v>
      </c>
      <c r="I28" s="823">
        <f t="shared" si="5"/>
        <v>615770.50800959999</v>
      </c>
      <c r="J28" s="823">
        <f t="shared" si="5"/>
        <v>653074.81645651208</v>
      </c>
      <c r="K28" s="823">
        <f t="shared" si="5"/>
        <v>693378.70664121001</v>
      </c>
      <c r="L28" s="823">
        <f t="shared" si="5"/>
        <v>715384.73388945067</v>
      </c>
      <c r="M28" s="823">
        <f t="shared" si="5"/>
        <v>738072.60527611896</v>
      </c>
      <c r="N28" s="823">
        <f t="shared" si="5"/>
        <v>761463.20939178695</v>
      </c>
      <c r="O28" s="823">
        <f t="shared" si="5"/>
        <v>785578.07015007245</v>
      </c>
      <c r="P28" s="823">
        <f t="shared" si="5"/>
        <v>810439.36602063733</v>
      </c>
      <c r="Q28" s="820"/>
      <c r="R28" s="598"/>
      <c r="S28" s="710"/>
      <c r="T28" s="49">
        <f>(P28-O28)/O28</f>
        <v>3.1647135803848897E-2</v>
      </c>
    </row>
    <row r="29" spans="1:20" s="45" customFormat="1" ht="13.5" customHeight="1">
      <c r="A29" s="598"/>
      <c r="B29" s="598"/>
      <c r="C29" s="634"/>
      <c r="D29" s="634"/>
      <c r="E29" s="772" t="str">
        <f>IF(Input!B36="YES","Renovation Costs","")</f>
        <v/>
      </c>
      <c r="F29" s="819"/>
      <c r="G29" s="831">
        <f>+IF(Input!$B$36="YES",-Input!$E37,0)</f>
        <v>0</v>
      </c>
      <c r="H29" s="831">
        <f>+IF(Input!$B$36="YES",-Input!$F37,0)</f>
        <v>0</v>
      </c>
      <c r="I29" s="831">
        <f>+IF(Input!$B$36="YES",-Input!$G37,0)</f>
        <v>0</v>
      </c>
      <c r="J29" s="831">
        <f>+IF(Input!$B$36="YES",-Input!$H37,0)</f>
        <v>0</v>
      </c>
      <c r="K29" s="831">
        <f>+IF(Input!$B$36="YES",-Input!$I37,0)</f>
        <v>0</v>
      </c>
      <c r="L29" s="831">
        <f>+IF(Input!$B$36="YES",-Input!$J37,0)</f>
        <v>0</v>
      </c>
      <c r="M29" s="831">
        <f>+IF(Input!$B$36="YES",-Input!$K37,0)</f>
        <v>0</v>
      </c>
      <c r="N29" s="831">
        <f>+IF(Input!$B$36="YES",-Input!$L37,0)</f>
        <v>0</v>
      </c>
      <c r="O29" s="831">
        <f>+IF(Input!$B$36="YES",-Input!$M37,0)</f>
        <v>0</v>
      </c>
      <c r="P29" s="831" t="str">
        <f>+IF(Input!$B$36="YES",-Input!$N37,"0")</f>
        <v>0</v>
      </c>
      <c r="Q29" s="832"/>
      <c r="R29" s="598"/>
      <c r="S29" s="598"/>
    </row>
    <row r="30" spans="1:20" s="149" customFormat="1" ht="13.5" customHeight="1">
      <c r="A30" s="589"/>
      <c r="B30" s="589"/>
      <c r="C30" s="645"/>
      <c r="D30" s="645"/>
      <c r="E30" s="1626" t="s">
        <v>1803</v>
      </c>
      <c r="F30" s="1626"/>
      <c r="G30" s="1626"/>
      <c r="H30" s="1626"/>
      <c r="I30" s="1626"/>
      <c r="J30" s="1626"/>
      <c r="K30" s="1626"/>
      <c r="L30" s="1626"/>
      <c r="M30" s="1626"/>
      <c r="N30" s="1626"/>
      <c r="O30" s="1626"/>
      <c r="P30" s="1626"/>
      <c r="Q30" s="641"/>
      <c r="R30" s="589"/>
      <c r="S30" s="589"/>
    </row>
    <row r="31" spans="1:20" s="45" customFormat="1" ht="13.5" customHeight="1">
      <c r="A31" s="598"/>
      <c r="B31" s="598"/>
      <c r="C31" s="634"/>
      <c r="D31" s="634"/>
      <c r="E31" s="773" t="s">
        <v>1804</v>
      </c>
      <c r="F31" s="831">
        <f>IF(Input!B10="Unpriced","-",-Input!C9)</f>
        <v>-9350000</v>
      </c>
      <c r="G31" s="821"/>
      <c r="H31" s="821"/>
      <c r="I31" s="821"/>
      <c r="J31" s="821"/>
      <c r="K31" s="821"/>
      <c r="L31" s="821"/>
      <c r="M31" s="821"/>
      <c r="N31" s="821"/>
      <c r="O31" s="821"/>
      <c r="P31" s="821" t="str">
        <f>IFERROR(P28/Input!B31,"")</f>
        <v/>
      </c>
      <c r="Q31" s="633"/>
      <c r="R31" s="598"/>
      <c r="S31" s="598"/>
    </row>
    <row r="32" spans="1:20" s="45" customFormat="1" ht="13.5" customHeight="1">
      <c r="A32" s="598"/>
      <c r="B32" s="598"/>
      <c r="C32" s="634"/>
      <c r="D32" s="634"/>
      <c r="E32" s="822" t="s">
        <v>1805</v>
      </c>
      <c r="F32" s="823"/>
      <c r="G32" s="823">
        <f>SUM(G28:G31)</f>
        <v>571265.24</v>
      </c>
      <c r="H32" s="823">
        <f t="shared" ref="H32:O32" si="6">SUM(H28:H31)</f>
        <v>588724.38384000002</v>
      </c>
      <c r="I32" s="823">
        <f t="shared" si="6"/>
        <v>615770.50800959999</v>
      </c>
      <c r="J32" s="823">
        <f t="shared" si="6"/>
        <v>653074.81645651208</v>
      </c>
      <c r="K32" s="823">
        <f t="shared" si="6"/>
        <v>693378.70664121001</v>
      </c>
      <c r="L32" s="823">
        <f t="shared" si="6"/>
        <v>715384.73388945067</v>
      </c>
      <c r="M32" s="823">
        <f t="shared" si="6"/>
        <v>738072.60527611896</v>
      </c>
      <c r="N32" s="823">
        <f t="shared" si="6"/>
        <v>761463.20939178695</v>
      </c>
      <c r="O32" s="823">
        <f t="shared" si="6"/>
        <v>785578.07015007245</v>
      </c>
      <c r="P32" s="823">
        <f>SUM(P28:P31)</f>
        <v>810439.36602063733</v>
      </c>
      <c r="Q32" s="633"/>
      <c r="R32" s="598"/>
      <c r="S32" s="598"/>
    </row>
    <row r="33" spans="1:20" s="148" customFormat="1" ht="13.5" customHeight="1">
      <c r="A33" s="598"/>
      <c r="B33" s="598"/>
      <c r="C33" s="634"/>
      <c r="D33" s="634"/>
      <c r="E33" s="1626" t="s">
        <v>1614</v>
      </c>
      <c r="F33" s="1626"/>
      <c r="G33" s="1626"/>
      <c r="H33" s="1626"/>
      <c r="I33" s="1626"/>
      <c r="J33" s="1626"/>
      <c r="K33" s="1626"/>
      <c r="L33" s="1626"/>
      <c r="M33" s="1626"/>
      <c r="N33" s="1626"/>
      <c r="O33" s="1626"/>
      <c r="P33" s="1626"/>
      <c r="Q33" s="633"/>
      <c r="R33" s="598"/>
      <c r="S33" s="598"/>
    </row>
    <row r="34" spans="1:20" s="45" customFormat="1" ht="13.5" customHeight="1">
      <c r="A34" s="598"/>
      <c r="B34" s="598"/>
      <c r="C34" s="634"/>
      <c r="D34" s="634"/>
      <c r="E34" s="773" t="s">
        <v>7</v>
      </c>
      <c r="F34" s="821">
        <f>IF(SwitchAcqMethod="All Cash",0,Debt!E12)+IF(Input!B40="Yes",Debt!G12,0)</f>
        <v>5142500</v>
      </c>
      <c r="G34" s="821">
        <f>IF(SwitchAcqMethod="All Cash",0,Debt!C42)</f>
        <v>0</v>
      </c>
      <c r="H34" s="821">
        <f>IF(SwitchAcqMethod="All Cash",0,Debt!D42)</f>
        <v>0</v>
      </c>
      <c r="I34" s="821">
        <f>IF(SwitchAcqMethod="All Cash",0,Debt!E42)</f>
        <v>0</v>
      </c>
      <c r="J34" s="821">
        <f>IF(SwitchAcqMethod="All Cash",0,Debt!F42)</f>
        <v>0</v>
      </c>
      <c r="K34" s="821">
        <f>IF(SwitchAcqMethod="All Cash",0,Debt!G42)</f>
        <v>0</v>
      </c>
      <c r="L34" s="821">
        <f>IF(SwitchAcqMethod="All Cash",0,Debt!H42)</f>
        <v>0</v>
      </c>
      <c r="M34" s="821">
        <f>IF(SwitchAcqMethod="All Cash",0,Debt!I42)</f>
        <v>0</v>
      </c>
      <c r="N34" s="821">
        <f>IF(SwitchAcqMethod="All Cash",0,Debt!J42)</f>
        <v>0</v>
      </c>
      <c r="O34" s="821">
        <f>IF(SwitchAcqMethod="All Cash",0,Debt!K42)</f>
        <v>0</v>
      </c>
      <c r="P34" s="821">
        <f>IF(SwitchAcqMethod="All Cash",0,Debt!L42)</f>
        <v>0</v>
      </c>
      <c r="Q34" s="633"/>
      <c r="R34" s="598"/>
      <c r="S34" s="598"/>
    </row>
    <row r="35" spans="1:20" s="45" customFormat="1" ht="13.5" customHeight="1">
      <c r="A35" s="598"/>
      <c r="B35" s="598"/>
      <c r="C35" s="634"/>
      <c r="D35" s="634"/>
      <c r="E35" s="773" t="s">
        <v>1634</v>
      </c>
      <c r="F35" s="821"/>
      <c r="G35" s="821">
        <f>IF(SwitchAcqMethod="All Cash",0,Debt!C43)</f>
        <v>0</v>
      </c>
      <c r="H35" s="821">
        <f>IF(SwitchAcqMethod="All Cash",0,Debt!D43)</f>
        <v>0</v>
      </c>
      <c r="I35" s="821">
        <f>IF(SwitchAcqMethod="All Cash",0,Debt!E43)</f>
        <v>0</v>
      </c>
      <c r="J35" s="821">
        <f>IF(SwitchAcqMethod="All Cash",0,Debt!F43)</f>
        <v>0</v>
      </c>
      <c r="K35" s="821">
        <f>IF(SwitchAcqMethod="All Cash",0,Debt!G43)</f>
        <v>0</v>
      </c>
      <c r="L35" s="821">
        <f>IF(SwitchAcqMethod="All Cash",0,Debt!H43)</f>
        <v>0</v>
      </c>
      <c r="M35" s="821">
        <f>IF(SwitchAcqMethod="All Cash",0,Debt!I43)</f>
        <v>0</v>
      </c>
      <c r="N35" s="821">
        <f>IF(SwitchAcqMethod="All Cash",0,Debt!J43)</f>
        <v>0</v>
      </c>
      <c r="O35" s="821">
        <f>IF(SwitchAcqMethod="All Cash",0,Debt!K43)</f>
        <v>0</v>
      </c>
      <c r="P35" s="821">
        <f>IFERROR(IF(SwitchAcqMethod="All Cash",0,Debt!L43),0)</f>
        <v>0</v>
      </c>
      <c r="Q35" s="633"/>
      <c r="R35" s="598"/>
      <c r="S35" s="598"/>
    </row>
    <row r="36" spans="1:20" s="45" customFormat="1" ht="13.5" customHeight="1">
      <c r="A36" s="598"/>
      <c r="B36" s="598"/>
      <c r="C36" s="634"/>
      <c r="D36" s="634"/>
      <c r="E36" s="773" t="s">
        <v>1806</v>
      </c>
      <c r="F36" s="821">
        <f>-Debt!E12*Debt!E23-IF(SwitchMezz="Yes",Debt!G12*Debt!G23,0)</f>
        <v>0</v>
      </c>
      <c r="G36" s="821">
        <f>IF(SwitchAcqMethod="All Cash",0,Debt!C44)</f>
        <v>0</v>
      </c>
      <c r="H36" s="821">
        <f>IF(SwitchAcqMethod="All Cash",0,Debt!D44)</f>
        <v>0</v>
      </c>
      <c r="I36" s="821">
        <f>IF(SwitchAcqMethod="All Cash",0,Debt!E44)</f>
        <v>0</v>
      </c>
      <c r="J36" s="821">
        <f>IF(SwitchAcqMethod="All Cash",0,Debt!F44)</f>
        <v>0</v>
      </c>
      <c r="K36" s="821">
        <f>IF(SwitchAcqMethod="All Cash",0,Debt!G44)</f>
        <v>0</v>
      </c>
      <c r="L36" s="821">
        <f>IF(SwitchAcqMethod="All Cash",0,Debt!H44)</f>
        <v>0</v>
      </c>
      <c r="M36" s="821">
        <f>IF(SwitchAcqMethod="All Cash",0,Debt!I44)</f>
        <v>0</v>
      </c>
      <c r="N36" s="821">
        <f>IF(SwitchAcqMethod="All Cash",0,Debt!J44)</f>
        <v>0</v>
      </c>
      <c r="O36" s="821">
        <f>IF(SwitchAcqMethod="All Cash",0,Debt!K44)</f>
        <v>0</v>
      </c>
      <c r="P36" s="821">
        <f>IF(SwitchAcqMethod="All Cash",0,Debt!L44)</f>
        <v>0</v>
      </c>
      <c r="Q36" s="633"/>
      <c r="R36" s="598"/>
      <c r="S36" s="598"/>
    </row>
    <row r="37" spans="1:20" s="45" customFormat="1" ht="13.5" customHeight="1">
      <c r="A37" s="598"/>
      <c r="B37" s="598"/>
      <c r="C37" s="634"/>
      <c r="D37" s="634"/>
      <c r="E37" s="773" t="s">
        <v>26</v>
      </c>
      <c r="F37" s="821"/>
      <c r="G37" s="821">
        <f>IF(SwitchAcqMethod="All Cash",0,Debt!C45)</f>
        <v>0</v>
      </c>
      <c r="H37" s="821">
        <f>IF(SwitchAcqMethod="All Cash",0,Debt!D45)</f>
        <v>0</v>
      </c>
      <c r="I37" s="821">
        <f>IF(SwitchAcqMethod="All Cash",0,Debt!E45)</f>
        <v>0</v>
      </c>
      <c r="J37" s="821">
        <f>IF(SwitchAcqMethod="All Cash",0,Debt!F45)</f>
        <v>0</v>
      </c>
      <c r="K37" s="821">
        <f>IF(SwitchAcqMethod="All Cash",0,Debt!G45)</f>
        <v>0</v>
      </c>
      <c r="L37" s="821">
        <f>IF(SwitchAcqMethod="All Cash",0,Debt!H45)</f>
        <v>0</v>
      </c>
      <c r="M37" s="821">
        <f>IF(SwitchAcqMethod="All Cash",0,Debt!I45)</f>
        <v>0</v>
      </c>
      <c r="N37" s="821">
        <f>IF(SwitchAcqMethod="All Cash",0,Debt!J45)</f>
        <v>0</v>
      </c>
      <c r="O37" s="821">
        <f>IF(SwitchAcqMethod="All Cash",0,Debt!K45)</f>
        <v>0</v>
      </c>
      <c r="P37" s="821">
        <f>IF(SwitchAcqMethod="All Cash",0,Debt!L45)</f>
        <v>0</v>
      </c>
      <c r="Q37" s="633"/>
      <c r="R37" s="598"/>
      <c r="S37" s="598"/>
    </row>
    <row r="38" spans="1:20" s="45" customFormat="1" ht="13.5" customHeight="1">
      <c r="A38" s="598"/>
      <c r="B38" s="598"/>
      <c r="C38" s="634"/>
      <c r="D38" s="634"/>
      <c r="E38" s="773" t="s">
        <v>1807</v>
      </c>
      <c r="F38" s="821"/>
      <c r="G38" s="821">
        <v>0</v>
      </c>
      <c r="H38" s="821">
        <v>0</v>
      </c>
      <c r="I38" s="821">
        <v>0</v>
      </c>
      <c r="J38" s="821">
        <v>0</v>
      </c>
      <c r="K38" s="821">
        <v>0</v>
      </c>
      <c r="L38" s="821">
        <v>0</v>
      </c>
      <c r="M38" s="821">
        <v>0</v>
      </c>
      <c r="N38" s="821">
        <v>0</v>
      </c>
      <c r="O38" s="821">
        <v>0</v>
      </c>
      <c r="P38" s="821">
        <f>IFERROR(-P31*Input!B32,0)</f>
        <v>0</v>
      </c>
      <c r="Q38" s="633"/>
      <c r="R38" s="598"/>
      <c r="S38" s="598"/>
    </row>
    <row r="39" spans="1:20" s="45" customFormat="1" ht="13.5" customHeight="1">
      <c r="A39" s="598"/>
      <c r="B39" s="598"/>
      <c r="C39" s="634"/>
      <c r="D39" s="634"/>
      <c r="E39" s="773" t="s">
        <v>1808</v>
      </c>
      <c r="F39" s="821"/>
      <c r="G39" s="821">
        <f>IF(SwitchAcqMethod="All Cash",0,Debt!C40)</f>
        <v>-293968.36075500259</v>
      </c>
      <c r="H39" s="821">
        <f>IF(SwitchAcqMethod="All Cash",0,Debt!D40)</f>
        <v>-290062.61325009482</v>
      </c>
      <c r="I39" s="821">
        <f>IF(SwitchAcqMethod="All Cash",0,Debt!E40)</f>
        <v>-285926.27107146877</v>
      </c>
      <c r="J39" s="821">
        <f>IF(SwitchAcqMethod="All Cash",0,Debt!F40)</f>
        <v>0</v>
      </c>
      <c r="K39" s="821">
        <f>IF(SwitchAcqMethod="All Cash",0,Debt!G40)</f>
        <v>0</v>
      </c>
      <c r="L39" s="821">
        <f>IF(SwitchAcqMethod="All Cash",0,Debt!H40)</f>
        <v>0</v>
      </c>
      <c r="M39" s="821">
        <f>IF(SwitchAcqMethod="All Cash",0,Debt!I40)</f>
        <v>0</v>
      </c>
      <c r="N39" s="821">
        <f>IF(SwitchAcqMethod="All Cash",0,Debt!J40)</f>
        <v>0</v>
      </c>
      <c r="O39" s="821">
        <f>IF(SwitchAcqMethod="All Cash",0,Debt!K40)</f>
        <v>0</v>
      </c>
      <c r="P39" s="821">
        <f>IF(SwitchAcqMethod="All Cash",0,Debt!L40)</f>
        <v>0</v>
      </c>
      <c r="Q39" s="711"/>
      <c r="R39" s="711"/>
      <c r="S39" s="711"/>
    </row>
    <row r="40" spans="1:20" s="45" customFormat="1" ht="13.5" customHeight="1">
      <c r="A40" s="598"/>
      <c r="B40" s="598"/>
      <c r="C40" s="634"/>
      <c r="D40" s="634"/>
      <c r="E40" s="773" t="s">
        <v>1809</v>
      </c>
      <c r="F40" s="821"/>
      <c r="G40" s="821">
        <f>IF(SwitchAcqMethod="All Cash",0,Debt!C41)</f>
        <v>-66154.448956313965</v>
      </c>
      <c r="H40" s="821">
        <f>IF(SwitchAcqMethod="All Cash",0,Debt!D41)</f>
        <v>-70060.196461221756</v>
      </c>
      <c r="I40" s="821">
        <f>IF(SwitchAcqMethod="All Cash",0,Debt!E41)</f>
        <v>-74196.538639847815</v>
      </c>
      <c r="J40" s="821">
        <f>IF(SwitchAcqMethod="All Cash",0,Debt!F41)</f>
        <v>0</v>
      </c>
      <c r="K40" s="821">
        <f>IF(SwitchAcqMethod="All Cash",0,Debt!G41)</f>
        <v>0</v>
      </c>
      <c r="L40" s="821">
        <f>IF(SwitchAcqMethod="All Cash",0,Debt!H41)</f>
        <v>0</v>
      </c>
      <c r="M40" s="821">
        <f>IF(SwitchAcqMethod="All Cash",0,Debt!I41)</f>
        <v>0</v>
      </c>
      <c r="N40" s="821">
        <f>IF(SwitchAcqMethod="All Cash",0,Debt!J41)</f>
        <v>0</v>
      </c>
      <c r="O40" s="821">
        <f>IF(SwitchAcqMethod="All Cash",0,Debt!K41)</f>
        <v>0</v>
      </c>
      <c r="P40" s="821">
        <f>IF(SwitchAcqMethod="All Cash",0,Debt!L41)</f>
        <v>0</v>
      </c>
      <c r="Q40" s="711"/>
      <c r="R40" s="711"/>
      <c r="S40" s="711"/>
    </row>
    <row r="41" spans="1:20" s="45" customFormat="1" ht="13.5" customHeight="1">
      <c r="A41" s="598"/>
      <c r="B41" s="598"/>
      <c r="C41" s="634"/>
      <c r="D41" s="634"/>
      <c r="E41" s="822" t="s">
        <v>1810</v>
      </c>
      <c r="F41" s="823">
        <f>F31+SUM(F34:F40)</f>
        <v>-4207500</v>
      </c>
      <c r="G41" s="823">
        <f t="shared" ref="G41:O41" si="7">SUM(G32:G40)</f>
        <v>211142.43028868345</v>
      </c>
      <c r="H41" s="823">
        <f t="shared" si="7"/>
        <v>228601.57412868345</v>
      </c>
      <c r="I41" s="823">
        <f t="shared" si="7"/>
        <v>255647.69829828339</v>
      </c>
      <c r="J41" s="823">
        <f t="shared" si="7"/>
        <v>653074.81645651208</v>
      </c>
      <c r="K41" s="823">
        <f t="shared" si="7"/>
        <v>693378.70664121001</v>
      </c>
      <c r="L41" s="823">
        <f t="shared" si="7"/>
        <v>715384.73388945067</v>
      </c>
      <c r="M41" s="823">
        <f t="shared" si="7"/>
        <v>738072.60527611896</v>
      </c>
      <c r="N41" s="823">
        <f t="shared" si="7"/>
        <v>761463.20939178695</v>
      </c>
      <c r="O41" s="823">
        <f t="shared" si="7"/>
        <v>785578.07015007245</v>
      </c>
      <c r="P41" s="823">
        <f>SUM(P32:P40)</f>
        <v>810439.36602063733</v>
      </c>
      <c r="Q41" s="633"/>
      <c r="R41" s="598"/>
      <c r="S41" s="598"/>
      <c r="T41" s="49"/>
    </row>
    <row r="42" spans="1:20" s="45" customFormat="1" ht="13.5" customHeight="1">
      <c r="A42" s="598"/>
      <c r="B42" s="598"/>
      <c r="C42" s="598"/>
      <c r="D42" s="598"/>
      <c r="E42" s="772" t="s">
        <v>1027</v>
      </c>
      <c r="F42" s="764"/>
      <c r="G42" s="833">
        <f t="shared" ref="G42:P42" si="8">IFERROR(-G28/SUM(G39:G40),"")</f>
        <v>1.5863067392424837</v>
      </c>
      <c r="H42" s="833">
        <f t="shared" si="8"/>
        <v>1.6347878222763399</v>
      </c>
      <c r="I42" s="833">
        <f t="shared" si="8"/>
        <v>1.7098903246456867</v>
      </c>
      <c r="J42" s="833" t="str">
        <f t="shared" si="8"/>
        <v/>
      </c>
      <c r="K42" s="833" t="str">
        <f t="shared" si="8"/>
        <v/>
      </c>
      <c r="L42" s="833" t="str">
        <f t="shared" si="8"/>
        <v/>
      </c>
      <c r="M42" s="833" t="str">
        <f t="shared" si="8"/>
        <v/>
      </c>
      <c r="N42" s="833" t="str">
        <f t="shared" si="8"/>
        <v/>
      </c>
      <c r="O42" s="833" t="str">
        <f t="shared" si="8"/>
        <v/>
      </c>
      <c r="P42" s="833" t="str">
        <f t="shared" si="8"/>
        <v/>
      </c>
      <c r="Q42" s="633"/>
      <c r="R42" s="598"/>
      <c r="S42" s="598"/>
    </row>
    <row r="43" spans="1:20" s="148" customFormat="1" ht="13.5" customHeight="1">
      <c r="A43" s="598"/>
      <c r="B43" s="598"/>
      <c r="C43" s="598"/>
      <c r="D43" s="598"/>
      <c r="E43" s="1626" t="s">
        <v>1811</v>
      </c>
      <c r="F43" s="1626"/>
      <c r="G43" s="1626"/>
      <c r="H43" s="1626"/>
      <c r="I43" s="1626"/>
      <c r="J43" s="1626"/>
      <c r="K43" s="1626"/>
      <c r="L43" s="1626"/>
      <c r="M43" s="1626"/>
      <c r="N43" s="1626"/>
      <c r="O43" s="1626"/>
      <c r="P43" s="1626"/>
      <c r="Q43" s="820"/>
      <c r="R43" s="598"/>
      <c r="S43" s="598"/>
    </row>
    <row r="44" spans="1:20" s="45" customFormat="1" ht="13.5" customHeight="1">
      <c r="A44" s="598"/>
      <c r="B44" s="598"/>
      <c r="C44" s="598"/>
      <c r="D44" s="598"/>
      <c r="E44" s="773" t="s">
        <v>1812</v>
      </c>
      <c r="F44" s="764"/>
      <c r="G44" s="834">
        <f>IF($E$44=" "," ",-G31/$F$31)</f>
        <v>0</v>
      </c>
      <c r="H44" s="834"/>
      <c r="I44" s="834"/>
      <c r="J44" s="835">
        <f>IFERROR(F54,0)</f>
        <v>0</v>
      </c>
      <c r="K44" s="835">
        <f>IFERROR(F55,0)</f>
        <v>0</v>
      </c>
      <c r="L44" s="835">
        <f>IFERROR(F56,0)</f>
        <v>0</v>
      </c>
      <c r="M44" s="835">
        <f>IFERROR(F57,0)</f>
        <v>0</v>
      </c>
      <c r="N44" s="835">
        <f>IFERROR(F58,0)</f>
        <v>0</v>
      </c>
      <c r="O44" s="835">
        <f>IFERROR(F59,0)</f>
        <v>0</v>
      </c>
      <c r="P44" s="835">
        <f>IFERROR(F60,0)</f>
        <v>-4.8414069588595399E-2</v>
      </c>
      <c r="Q44" s="820"/>
      <c r="R44" s="598"/>
      <c r="S44" s="598"/>
    </row>
    <row r="45" spans="1:20" s="45" customFormat="1" ht="13.5" customHeight="1">
      <c r="A45" s="598"/>
      <c r="B45" s="598"/>
      <c r="C45" s="598"/>
      <c r="D45" s="598"/>
      <c r="E45" s="773" t="s">
        <v>1813</v>
      </c>
      <c r="F45" s="764"/>
      <c r="G45" s="834">
        <f>IF($E$45=" "," ",-G41/$F$41)</f>
        <v>5.0182395790536766E-2</v>
      </c>
      <c r="H45" s="834"/>
      <c r="I45" s="834"/>
      <c r="J45" s="835">
        <f>IFERROR(F67,0)</f>
        <v>0</v>
      </c>
      <c r="K45" s="835">
        <f>IFERROR(F68,0)</f>
        <v>0</v>
      </c>
      <c r="L45" s="835">
        <f>IFERROR(F69,0)</f>
        <v>0</v>
      </c>
      <c r="M45" s="835">
        <f>IFERROR(F70,0)</f>
        <v>0</v>
      </c>
      <c r="N45" s="835">
        <f>IFERROR(F71,0)</f>
        <v>0</v>
      </c>
      <c r="O45" s="835">
        <f>IFERROR(F72,0)</f>
        <v>0</v>
      </c>
      <c r="P45" s="835">
        <f>IFERROR(F73,0)</f>
        <v>0</v>
      </c>
      <c r="Q45" s="820"/>
      <c r="R45" s="598"/>
      <c r="S45" s="598"/>
    </row>
    <row r="46" spans="1:20" s="45" customFormat="1" ht="13.5" customHeight="1">
      <c r="A46" s="598"/>
      <c r="B46" s="598"/>
      <c r="C46" s="598"/>
      <c r="D46" s="598"/>
      <c r="E46" s="773" t="s">
        <v>1814</v>
      </c>
      <c r="F46" s="764"/>
      <c r="G46" s="834">
        <f t="shared" ref="G46:P46" si="9">IFERROR(-G28/$F$31,"")</f>
        <v>6.1097886631016042E-2</v>
      </c>
      <c r="H46" s="834">
        <f t="shared" si="9"/>
        <v>6.2965174742245986E-2</v>
      </c>
      <c r="I46" s="834">
        <f t="shared" si="9"/>
        <v>6.585780834327272E-2</v>
      </c>
      <c r="J46" s="834">
        <f t="shared" si="9"/>
        <v>6.9847573952568132E-2</v>
      </c>
      <c r="K46" s="834">
        <f t="shared" si="9"/>
        <v>7.4158150442910159E-2</v>
      </c>
      <c r="L46" s="834">
        <f t="shared" si="9"/>
        <v>7.6511736244861031E-2</v>
      </c>
      <c r="M46" s="834">
        <f t="shared" si="9"/>
        <v>7.8938246553595617E-2</v>
      </c>
      <c r="N46" s="834">
        <f t="shared" si="9"/>
        <v>8.1439915442971869E-2</v>
      </c>
      <c r="O46" s="834">
        <f t="shared" si="9"/>
        <v>8.4019044935836631E-2</v>
      </c>
      <c r="P46" s="834">
        <f t="shared" si="9"/>
        <v>8.6678007061030737E-2</v>
      </c>
      <c r="Q46" s="820"/>
      <c r="R46" s="598"/>
      <c r="S46" s="598"/>
    </row>
    <row r="47" spans="1:20" s="45" customFormat="1" ht="13.5" customHeight="1">
      <c r="A47" s="598"/>
      <c r="B47" s="598"/>
      <c r="C47" s="598"/>
      <c r="D47" s="598"/>
      <c r="E47" s="605"/>
      <c r="F47" s="760"/>
      <c r="G47" s="760"/>
      <c r="H47" s="760"/>
      <c r="I47" s="760"/>
      <c r="J47" s="760"/>
      <c r="K47" s="760"/>
      <c r="L47" s="760"/>
      <c r="M47" s="760"/>
      <c r="N47" s="760"/>
      <c r="O47" s="760"/>
      <c r="P47" s="760"/>
      <c r="Q47" s="836"/>
      <c r="R47" s="598"/>
      <c r="S47" s="598"/>
    </row>
    <row r="48" spans="1:20" s="45" customFormat="1" ht="13.5" customHeight="1">
      <c r="A48" s="598"/>
      <c r="B48" s="598"/>
      <c r="C48" s="598"/>
      <c r="D48" s="598"/>
      <c r="E48" s="605"/>
      <c r="F48" s="837"/>
      <c r="G48" s="838"/>
      <c r="H48" s="617"/>
      <c r="I48" s="617"/>
      <c r="J48" s="760"/>
      <c r="K48" s="760"/>
      <c r="L48" s="760"/>
      <c r="M48" s="760"/>
      <c r="N48" s="760"/>
      <c r="O48" s="760"/>
      <c r="P48" s="760"/>
      <c r="Q48" s="605"/>
      <c r="R48" s="598"/>
      <c r="S48" s="598"/>
    </row>
    <row r="49" spans="1:24" ht="9" hidden="1">
      <c r="A49" s="589"/>
      <c r="B49" s="589"/>
      <c r="C49" s="589"/>
      <c r="D49" s="589"/>
      <c r="E49" s="712" t="s">
        <v>1271</v>
      </c>
      <c r="F49" s="646" t="s">
        <v>1277</v>
      </c>
      <c r="G49" s="718" t="s">
        <v>1815</v>
      </c>
      <c r="H49" s="646"/>
      <c r="I49" s="646"/>
      <c r="J49" s="646"/>
      <c r="K49" s="646"/>
      <c r="L49" s="646"/>
      <c r="M49" s="646"/>
      <c r="N49" s="646"/>
      <c r="O49" s="646"/>
      <c r="P49" s="646"/>
      <c r="Q49" s="713" t="s">
        <v>1816</v>
      </c>
      <c r="R49" s="589"/>
      <c r="S49" s="589"/>
    </row>
    <row r="50" spans="1:24" ht="9" hidden="1">
      <c r="A50" s="589"/>
      <c r="B50" s="589"/>
      <c r="C50" s="589"/>
      <c r="D50" s="589"/>
      <c r="E50" s="714"/>
      <c r="F50" s="715"/>
      <c r="G50" s="715">
        <v>0</v>
      </c>
      <c r="H50" s="715">
        <v>1</v>
      </c>
      <c r="I50" s="715">
        <v>2</v>
      </c>
      <c r="J50" s="715">
        <v>3</v>
      </c>
      <c r="K50" s="715">
        <v>4</v>
      </c>
      <c r="L50" s="715">
        <v>5</v>
      </c>
      <c r="M50" s="715">
        <v>6</v>
      </c>
      <c r="N50" s="715">
        <v>7</v>
      </c>
      <c r="O50" s="715">
        <v>8</v>
      </c>
      <c r="P50" s="715">
        <v>9</v>
      </c>
      <c r="Q50" s="716" t="s">
        <v>1817</v>
      </c>
      <c r="R50" s="717" t="str">
        <f>R63</f>
        <v>11 Net</v>
      </c>
      <c r="S50" s="717" t="s">
        <v>1818</v>
      </c>
      <c r="T50" s="259" t="s">
        <v>1819</v>
      </c>
    </row>
    <row r="51" spans="1:24" ht="9" hidden="1">
      <c r="A51" s="589"/>
      <c r="B51" s="589"/>
      <c r="C51" s="589"/>
      <c r="D51" s="589"/>
      <c r="E51" s="597">
        <v>1</v>
      </c>
      <c r="F51" s="718" t="e">
        <f>IRR(G51:H51)</f>
        <v>#VALUE!</v>
      </c>
      <c r="G51" s="839">
        <f t="shared" ref="G51:G60" si="10">$F$31+$F$38</f>
        <v>-9350000</v>
      </c>
      <c r="H51" s="839" t="e">
        <f>Q51</f>
        <v>#DIV/0!</v>
      </c>
      <c r="I51" s="840"/>
      <c r="J51" s="840"/>
      <c r="K51" s="840"/>
      <c r="L51" s="840"/>
      <c r="M51" s="840"/>
      <c r="N51" s="840"/>
      <c r="O51" s="840"/>
      <c r="P51" s="840"/>
      <c r="Q51" s="719" t="e">
        <f>T51-S51+G32</f>
        <v>#DIV/0!</v>
      </c>
      <c r="R51" s="720"/>
      <c r="S51" s="720" t="e">
        <f>T51*Input!$B$32</f>
        <v>#DIV/0!</v>
      </c>
      <c r="T51" s="260" t="e">
        <f t="shared" ref="T51:T58" si="11">U64</f>
        <v>#DIV/0!</v>
      </c>
    </row>
    <row r="52" spans="1:24" ht="9" hidden="1">
      <c r="A52" s="589"/>
      <c r="B52" s="589"/>
      <c r="C52" s="589"/>
      <c r="D52" s="589"/>
      <c r="E52" s="597">
        <v>2</v>
      </c>
      <c r="F52" s="718" t="e">
        <f>IRR(G52:I52)</f>
        <v>#VALUE!</v>
      </c>
      <c r="G52" s="839">
        <f t="shared" si="10"/>
        <v>-9350000</v>
      </c>
      <c r="H52" s="841">
        <f t="shared" ref="H52:H59" si="12">$G$32</f>
        <v>571265.24</v>
      </c>
      <c r="I52" s="841" t="e">
        <f>Q52</f>
        <v>#DIV/0!</v>
      </c>
      <c r="J52" s="842"/>
      <c r="K52" s="842"/>
      <c r="L52" s="842"/>
      <c r="M52" s="842"/>
      <c r="N52" s="842"/>
      <c r="O52" s="842"/>
      <c r="P52" s="842"/>
      <c r="Q52" s="719" t="e">
        <f>T52-S52+H32</f>
        <v>#DIV/0!</v>
      </c>
      <c r="R52" s="720"/>
      <c r="S52" s="720" t="e">
        <f>T52*Input!$B$32</f>
        <v>#DIV/0!</v>
      </c>
      <c r="T52" s="260" t="e">
        <f t="shared" si="11"/>
        <v>#DIV/0!</v>
      </c>
    </row>
    <row r="53" spans="1:24" ht="9" hidden="1">
      <c r="A53" s="589"/>
      <c r="B53" s="589"/>
      <c r="C53" s="589"/>
      <c r="D53" s="589"/>
      <c r="E53" s="597">
        <v>3</v>
      </c>
      <c r="F53" s="718" t="e">
        <f>IRR(G53:J53)</f>
        <v>#VALUE!</v>
      </c>
      <c r="G53" s="839">
        <f t="shared" si="10"/>
        <v>-9350000</v>
      </c>
      <c r="H53" s="841">
        <f t="shared" si="12"/>
        <v>571265.24</v>
      </c>
      <c r="I53" s="841">
        <f t="shared" ref="I53:I59" si="13">$H$32</f>
        <v>588724.38384000002</v>
      </c>
      <c r="J53" s="841" t="e">
        <f>Q53</f>
        <v>#DIV/0!</v>
      </c>
      <c r="K53" s="842"/>
      <c r="L53" s="842"/>
      <c r="M53" s="842"/>
      <c r="N53" s="842"/>
      <c r="O53" s="842"/>
      <c r="P53" s="842"/>
      <c r="Q53" s="719" t="e">
        <f>T53-S53+I32</f>
        <v>#DIV/0!</v>
      </c>
      <c r="R53" s="720"/>
      <c r="S53" s="720" t="e">
        <f>T53*Input!$B$32</f>
        <v>#DIV/0!</v>
      </c>
      <c r="T53" s="260" t="e">
        <f t="shared" si="11"/>
        <v>#DIV/0!</v>
      </c>
    </row>
    <row r="54" spans="1:24" ht="9" hidden="1">
      <c r="A54" s="589"/>
      <c r="B54" s="589"/>
      <c r="C54" s="589"/>
      <c r="D54" s="589"/>
      <c r="E54" s="597">
        <v>4</v>
      </c>
      <c r="F54" s="718" t="e">
        <f>IRR(G54:K54)</f>
        <v>#VALUE!</v>
      </c>
      <c r="G54" s="839">
        <f t="shared" si="10"/>
        <v>-9350000</v>
      </c>
      <c r="H54" s="841">
        <f t="shared" si="12"/>
        <v>571265.24</v>
      </c>
      <c r="I54" s="841">
        <f t="shared" si="13"/>
        <v>588724.38384000002</v>
      </c>
      <c r="J54" s="841">
        <f t="shared" ref="J54:J61" si="14">$I$32</f>
        <v>615770.50800959999</v>
      </c>
      <c r="K54" s="841" t="e">
        <f>Q54</f>
        <v>#DIV/0!</v>
      </c>
      <c r="L54" s="842"/>
      <c r="M54" s="842"/>
      <c r="N54" s="842"/>
      <c r="O54" s="842"/>
      <c r="P54" s="842"/>
      <c r="Q54" s="719" t="e">
        <f>T54-S54+J32</f>
        <v>#DIV/0!</v>
      </c>
      <c r="R54" s="720"/>
      <c r="S54" s="720" t="e">
        <f>T54*Input!$B$32</f>
        <v>#DIV/0!</v>
      </c>
      <c r="T54" s="260" t="e">
        <f t="shared" si="11"/>
        <v>#DIV/0!</v>
      </c>
    </row>
    <row r="55" spans="1:24" ht="9" hidden="1">
      <c r="A55" s="589"/>
      <c r="B55" s="589"/>
      <c r="C55" s="589"/>
      <c r="D55" s="589"/>
      <c r="E55" s="597">
        <v>5</v>
      </c>
      <c r="F55" s="718" t="e">
        <f>IRR(G55:L55)</f>
        <v>#VALUE!</v>
      </c>
      <c r="G55" s="839">
        <f t="shared" si="10"/>
        <v>-9350000</v>
      </c>
      <c r="H55" s="841">
        <f t="shared" si="12"/>
        <v>571265.24</v>
      </c>
      <c r="I55" s="841">
        <f t="shared" si="13"/>
        <v>588724.38384000002</v>
      </c>
      <c r="J55" s="841">
        <f t="shared" si="14"/>
        <v>615770.50800959999</v>
      </c>
      <c r="K55" s="841">
        <f t="shared" ref="K55:K61" si="15">$J$32</f>
        <v>653074.81645651208</v>
      </c>
      <c r="L55" s="841" t="e">
        <f>Q55</f>
        <v>#DIV/0!</v>
      </c>
      <c r="M55" s="842"/>
      <c r="N55" s="842"/>
      <c r="O55" s="842"/>
      <c r="P55" s="842"/>
      <c r="Q55" s="719" t="e">
        <f>T55-S55+K32</f>
        <v>#DIV/0!</v>
      </c>
      <c r="R55" s="720"/>
      <c r="S55" s="720" t="e">
        <f>T55*Input!$B$32</f>
        <v>#DIV/0!</v>
      </c>
      <c r="T55" s="260" t="e">
        <f t="shared" si="11"/>
        <v>#DIV/0!</v>
      </c>
    </row>
    <row r="56" spans="1:24" ht="9" hidden="1">
      <c r="A56" s="589"/>
      <c r="B56" s="589"/>
      <c r="C56" s="589"/>
      <c r="D56" s="589"/>
      <c r="E56" s="597">
        <v>6</v>
      </c>
      <c r="F56" s="718" t="e">
        <f>IRR(G56:M56)</f>
        <v>#VALUE!</v>
      </c>
      <c r="G56" s="839">
        <f t="shared" si="10"/>
        <v>-9350000</v>
      </c>
      <c r="H56" s="841">
        <f t="shared" si="12"/>
        <v>571265.24</v>
      </c>
      <c r="I56" s="841">
        <f t="shared" si="13"/>
        <v>588724.38384000002</v>
      </c>
      <c r="J56" s="841">
        <f t="shared" si="14"/>
        <v>615770.50800959999</v>
      </c>
      <c r="K56" s="841">
        <f t="shared" si="15"/>
        <v>653074.81645651208</v>
      </c>
      <c r="L56" s="841">
        <f t="shared" ref="L56:L61" si="16">$K$32</f>
        <v>693378.70664121001</v>
      </c>
      <c r="M56" s="841" t="e">
        <f>Q56</f>
        <v>#DIV/0!</v>
      </c>
      <c r="N56" s="842"/>
      <c r="O56" s="842"/>
      <c r="P56" s="842"/>
      <c r="Q56" s="719" t="e">
        <f>T56-S56+L32</f>
        <v>#DIV/0!</v>
      </c>
      <c r="R56" s="720"/>
      <c r="S56" s="720" t="e">
        <f>T56*Input!$B$32</f>
        <v>#DIV/0!</v>
      </c>
      <c r="T56" s="260" t="e">
        <f t="shared" si="11"/>
        <v>#DIV/0!</v>
      </c>
    </row>
    <row r="57" spans="1:24" ht="9" hidden="1">
      <c r="A57" s="589"/>
      <c r="B57" s="589"/>
      <c r="C57" s="589"/>
      <c r="D57" s="589"/>
      <c r="E57" s="597">
        <v>7</v>
      </c>
      <c r="F57" s="718" t="e">
        <f>IRR(G57:N57)</f>
        <v>#VALUE!</v>
      </c>
      <c r="G57" s="839">
        <f t="shared" si="10"/>
        <v>-9350000</v>
      </c>
      <c r="H57" s="841">
        <f t="shared" si="12"/>
        <v>571265.24</v>
      </c>
      <c r="I57" s="841">
        <f t="shared" si="13"/>
        <v>588724.38384000002</v>
      </c>
      <c r="J57" s="841">
        <f t="shared" si="14"/>
        <v>615770.50800959999</v>
      </c>
      <c r="K57" s="841">
        <f t="shared" si="15"/>
        <v>653074.81645651208</v>
      </c>
      <c r="L57" s="841">
        <f t="shared" si="16"/>
        <v>693378.70664121001</v>
      </c>
      <c r="M57" s="841">
        <f>$L$32</f>
        <v>715384.73388945067</v>
      </c>
      <c r="N57" s="841" t="e">
        <f>Q57</f>
        <v>#DIV/0!</v>
      </c>
      <c r="O57" s="842"/>
      <c r="P57" s="842"/>
      <c r="Q57" s="719" t="e">
        <f>T57-S57+M32</f>
        <v>#DIV/0!</v>
      </c>
      <c r="R57" s="720"/>
      <c r="S57" s="720" t="e">
        <f>T57*Input!$B$32</f>
        <v>#DIV/0!</v>
      </c>
      <c r="T57" s="260" t="e">
        <f t="shared" si="11"/>
        <v>#DIV/0!</v>
      </c>
    </row>
    <row r="58" spans="1:24" ht="9" hidden="1">
      <c r="A58" s="589"/>
      <c r="B58" s="589"/>
      <c r="C58" s="589"/>
      <c r="D58" s="589"/>
      <c r="E58" s="597">
        <v>8</v>
      </c>
      <c r="F58" s="718" t="e">
        <f>IRR(G58:O58)</f>
        <v>#VALUE!</v>
      </c>
      <c r="G58" s="839">
        <f t="shared" si="10"/>
        <v>-9350000</v>
      </c>
      <c r="H58" s="841">
        <f t="shared" si="12"/>
        <v>571265.24</v>
      </c>
      <c r="I58" s="841">
        <f t="shared" si="13"/>
        <v>588724.38384000002</v>
      </c>
      <c r="J58" s="841">
        <f t="shared" si="14"/>
        <v>615770.50800959999</v>
      </c>
      <c r="K58" s="841">
        <f t="shared" si="15"/>
        <v>653074.81645651208</v>
      </c>
      <c r="L58" s="841">
        <f t="shared" si="16"/>
        <v>693378.70664121001</v>
      </c>
      <c r="M58" s="841">
        <f>$L$32</f>
        <v>715384.73388945067</v>
      </c>
      <c r="N58" s="841">
        <f>$M$32</f>
        <v>738072.60527611896</v>
      </c>
      <c r="O58" s="841" t="e">
        <f>Q58</f>
        <v>#DIV/0!</v>
      </c>
      <c r="P58" s="842"/>
      <c r="Q58" s="719" t="e">
        <f>T58-S58+N32</f>
        <v>#DIV/0!</v>
      </c>
      <c r="R58" s="720"/>
      <c r="S58" s="720" t="e">
        <f>T58*Input!$B$32</f>
        <v>#DIV/0!</v>
      </c>
      <c r="T58" s="260" t="e">
        <f t="shared" si="11"/>
        <v>#DIV/0!</v>
      </c>
    </row>
    <row r="59" spans="1:24" ht="9" hidden="1">
      <c r="A59" s="589"/>
      <c r="B59" s="589"/>
      <c r="C59" s="589"/>
      <c r="D59" s="589"/>
      <c r="E59" s="597">
        <v>9</v>
      </c>
      <c r="F59" s="718" t="e">
        <f>IRR(G59:P59)</f>
        <v>#VALUE!</v>
      </c>
      <c r="G59" s="839">
        <f t="shared" si="10"/>
        <v>-9350000</v>
      </c>
      <c r="H59" s="841">
        <f t="shared" si="12"/>
        <v>571265.24</v>
      </c>
      <c r="I59" s="841">
        <f t="shared" si="13"/>
        <v>588724.38384000002</v>
      </c>
      <c r="J59" s="841">
        <f t="shared" si="14"/>
        <v>615770.50800959999</v>
      </c>
      <c r="K59" s="841">
        <f t="shared" si="15"/>
        <v>653074.81645651208</v>
      </c>
      <c r="L59" s="841">
        <f t="shared" si="16"/>
        <v>693378.70664121001</v>
      </c>
      <c r="M59" s="841">
        <f>$L$32</f>
        <v>715384.73388945067</v>
      </c>
      <c r="N59" s="841">
        <f>$M$32</f>
        <v>738072.60527611896</v>
      </c>
      <c r="O59" s="841">
        <f>$N$32</f>
        <v>761463.20939178695</v>
      </c>
      <c r="P59" s="841" t="e">
        <f>Q59</f>
        <v>#DIV/0!</v>
      </c>
      <c r="Q59" s="719" t="e">
        <f>T59-S59+O32</f>
        <v>#DIV/0!</v>
      </c>
      <c r="R59" s="720"/>
      <c r="S59" s="720" t="e">
        <f>T59*Input!$B$32</f>
        <v>#DIV/0!</v>
      </c>
      <c r="T59" s="260" t="e">
        <f>U72</f>
        <v>#DIV/0!</v>
      </c>
      <c r="U59" s="21" t="s">
        <v>1820</v>
      </c>
    </row>
    <row r="60" spans="1:24" ht="9" hidden="1">
      <c r="A60" s="589"/>
      <c r="B60" s="589"/>
      <c r="C60" s="589"/>
      <c r="D60" s="589"/>
      <c r="E60" s="597">
        <v>10</v>
      </c>
      <c r="F60" s="718">
        <f>IRR(G60:Q60)</f>
        <v>-4.8414069588595399E-2</v>
      </c>
      <c r="G60" s="839">
        <f t="shared" si="10"/>
        <v>-9350000</v>
      </c>
      <c r="H60" s="841">
        <f>$G$32</f>
        <v>571265.24</v>
      </c>
      <c r="I60" s="841">
        <f>$H$32</f>
        <v>588724.38384000002</v>
      </c>
      <c r="J60" s="841">
        <f t="shared" si="14"/>
        <v>615770.50800959999</v>
      </c>
      <c r="K60" s="841">
        <f t="shared" si="15"/>
        <v>653074.81645651208</v>
      </c>
      <c r="L60" s="841">
        <f t="shared" si="16"/>
        <v>693378.70664121001</v>
      </c>
      <c r="M60" s="841">
        <f>$L$32</f>
        <v>715384.73388945067</v>
      </c>
      <c r="N60" s="841">
        <f>$M$32</f>
        <v>738072.60527611896</v>
      </c>
      <c r="O60" s="841">
        <f>$N$32</f>
        <v>761463.20939178695</v>
      </c>
      <c r="P60" s="841">
        <f>$O$32</f>
        <v>785578.07015007245</v>
      </c>
      <c r="Q60" s="719">
        <f>T60-S60-P29</f>
        <v>810439.36602063733</v>
      </c>
      <c r="R60" s="720"/>
      <c r="S60" s="720">
        <f>T60*Input!$B$32</f>
        <v>0</v>
      </c>
      <c r="T60" s="260">
        <f>P32</f>
        <v>810439.36602063733</v>
      </c>
      <c r="U60" s="21" t="s">
        <v>1821</v>
      </c>
      <c r="V60" s="21" t="s">
        <v>1822</v>
      </c>
    </row>
    <row r="61" spans="1:24" ht="9" hidden="1">
      <c r="A61" s="589"/>
      <c r="B61" s="589"/>
      <c r="C61" s="589"/>
      <c r="D61" s="589"/>
      <c r="E61" s="721">
        <v>11</v>
      </c>
      <c r="F61" s="722" t="e">
        <f>IRR(H61:R61)</f>
        <v>#VALUE!</v>
      </c>
      <c r="G61" s="843"/>
      <c r="H61" s="844">
        <f>$F$31+$F$38</f>
        <v>-9350000</v>
      </c>
      <c r="I61" s="844">
        <f>$H$32</f>
        <v>588724.38384000002</v>
      </c>
      <c r="J61" s="844">
        <f t="shared" si="14"/>
        <v>615770.50800959999</v>
      </c>
      <c r="K61" s="844">
        <f t="shared" si="15"/>
        <v>653074.81645651208</v>
      </c>
      <c r="L61" s="844">
        <f t="shared" si="16"/>
        <v>693378.70664121001</v>
      </c>
      <c r="M61" s="844">
        <f>$L$32</f>
        <v>715384.73388945067</v>
      </c>
      <c r="N61" s="844">
        <f>$M$32</f>
        <v>738072.60527611896</v>
      </c>
      <c r="O61" s="844">
        <f>$N$32</f>
        <v>761463.20939178695</v>
      </c>
      <c r="P61" s="844">
        <f>$O$32</f>
        <v>785578.07015007245</v>
      </c>
      <c r="Q61" s="723">
        <f>P28-P29</f>
        <v>810439.36602063733</v>
      </c>
      <c r="R61" s="724" t="e">
        <f>T61-S61+U61</f>
        <v>#DIV/0!</v>
      </c>
      <c r="S61" s="724" t="e">
        <f>T61*Input!$B$32</f>
        <v>#DIV/0!</v>
      </c>
      <c r="T61" s="225" t="e">
        <f>(U61/Input!B31)</f>
        <v>#DIV/0!</v>
      </c>
      <c r="U61" s="225">
        <f>Q61*(1+T28)</f>
        <v>836087.45069787756</v>
      </c>
      <c r="V61" s="225">
        <f>U61+SUM(Debt!L40:L41)</f>
        <v>836087.45069787756</v>
      </c>
    </row>
    <row r="62" spans="1:24" ht="9" hidden="1">
      <c r="A62" s="589"/>
      <c r="B62" s="589"/>
      <c r="C62" s="589"/>
      <c r="D62" s="589"/>
      <c r="E62" s="712" t="s">
        <v>1272</v>
      </c>
      <c r="F62" s="646" t="s">
        <v>1277</v>
      </c>
      <c r="G62" s="718" t="s">
        <v>1823</v>
      </c>
      <c r="H62" s="646"/>
      <c r="I62" s="646"/>
      <c r="J62" s="646"/>
      <c r="K62" s="646"/>
      <c r="L62" s="646"/>
      <c r="M62" s="646"/>
      <c r="N62" s="646"/>
      <c r="O62" s="646"/>
      <c r="P62" s="646"/>
      <c r="Q62" s="712"/>
      <c r="R62" s="589"/>
      <c r="S62" s="589"/>
    </row>
    <row r="63" spans="1:24" ht="9" hidden="1">
      <c r="A63" s="589"/>
      <c r="B63" s="589"/>
      <c r="C63" s="589"/>
      <c r="D63" s="589"/>
      <c r="E63" s="714"/>
      <c r="F63" s="715"/>
      <c r="G63" s="715">
        <v>0</v>
      </c>
      <c r="H63" s="715">
        <v>1</v>
      </c>
      <c r="I63" s="715">
        <v>2</v>
      </c>
      <c r="J63" s="715">
        <v>3</v>
      </c>
      <c r="K63" s="715">
        <v>4</v>
      </c>
      <c r="L63" s="715">
        <v>5</v>
      </c>
      <c r="M63" s="715">
        <v>6</v>
      </c>
      <c r="N63" s="715">
        <v>7</v>
      </c>
      <c r="O63" s="715">
        <v>8</v>
      </c>
      <c r="P63" s="715">
        <v>9</v>
      </c>
      <c r="Q63" s="716" t="s">
        <v>1824</v>
      </c>
      <c r="R63" s="717" t="s">
        <v>1825</v>
      </c>
      <c r="S63" s="717" t="s">
        <v>1818</v>
      </c>
      <c r="T63" s="258" t="s">
        <v>1826</v>
      </c>
      <c r="U63" s="258" t="s">
        <v>1827</v>
      </c>
      <c r="V63" s="259"/>
    </row>
    <row r="64" spans="1:24" ht="9" hidden="1">
      <c r="A64" s="589"/>
      <c r="B64" s="718" t="s">
        <v>1828</v>
      </c>
      <c r="C64" s="589"/>
      <c r="D64" s="589"/>
      <c r="E64" s="597">
        <v>1</v>
      </c>
      <c r="F64" s="718" t="str">
        <f>IFERROR(IRR(G64:H64),"")</f>
        <v/>
      </c>
      <c r="G64" s="839">
        <f t="shared" ref="G64:G73" si="17">$F$41</f>
        <v>-4207500</v>
      </c>
      <c r="H64" s="839" t="e">
        <f>Q64</f>
        <v>#DIV/0!</v>
      </c>
      <c r="I64" s="840"/>
      <c r="J64" s="840"/>
      <c r="K64" s="840"/>
      <c r="L64" s="840"/>
      <c r="M64" s="840"/>
      <c r="N64" s="840"/>
      <c r="O64" s="840"/>
      <c r="P64" s="840"/>
      <c r="Q64" s="719" t="e">
        <f>T64+U64+S64+H73</f>
        <v>#DIV/0!</v>
      </c>
      <c r="R64" s="720"/>
      <c r="S64" s="720" t="e">
        <f>-U64*Input!$B$32</f>
        <v>#DIV/0!</v>
      </c>
      <c r="T64" s="261">
        <f>-SUM(IF(AND('Cash Flow'!V64&gt;=Debt!$E$10,'Cash Flow'!V64&lt;=Debt!$E$15),VLOOKUP(EOMONTH(V64,1)+1,Loan1,6,FALSE),0),IF(AND('Cash Flow'!V64&gt;=Debt!$G$10,'Cash Flow'!V64&lt;=Debt!$G$15,SwitchMezz="Yes"),VLOOKUP(EOMONTH(V64,1)+1,Loan2,6,FALSE),0),IF(AND('Cash Flow'!V64&gt;=Debt!$I$10,'Cash Flow'!V64&lt;=Debt!$I$15,YEAR(V64)&gt;=YEAR(Debt!$I$10),SwitchRefi="Yes"),VLOOKUP(EOMONTH(V64,1)+1,Loan3,6,FALSE),0))</f>
        <v>-5064946.1484970786</v>
      </c>
      <c r="U64" s="260" t="e">
        <f>'Cash Flow'!H28/Input!$B$31</f>
        <v>#DIV/0!</v>
      </c>
      <c r="V64" s="262">
        <f>G3</f>
        <v>46415</v>
      </c>
      <c r="X64" s="43"/>
    </row>
    <row r="65" spans="1:24" ht="9" hidden="1">
      <c r="A65" s="589"/>
      <c r="B65" s="718"/>
      <c r="C65" s="589"/>
      <c r="D65" s="589"/>
      <c r="E65" s="597">
        <v>2</v>
      </c>
      <c r="F65" s="718" t="e">
        <f>IRR(G65:I65)</f>
        <v>#VALUE!</v>
      </c>
      <c r="G65" s="841">
        <f t="shared" si="17"/>
        <v>-4207500</v>
      </c>
      <c r="H65" s="841">
        <f t="shared" ref="H65:H73" si="18">$G$41</f>
        <v>211142.43028868345</v>
      </c>
      <c r="I65" s="841" t="e">
        <f>Q65</f>
        <v>#DIV/0!</v>
      </c>
      <c r="J65" s="842"/>
      <c r="K65" s="842"/>
      <c r="L65" s="842"/>
      <c r="M65" s="842"/>
      <c r="N65" s="842"/>
      <c r="O65" s="842"/>
      <c r="P65" s="842"/>
      <c r="Q65" s="719" t="e">
        <f>T65+U65+S65+I73</f>
        <v>#DIV/0!</v>
      </c>
      <c r="R65" s="720"/>
      <c r="S65" s="720" t="e">
        <f>-U65*Input!$B$32</f>
        <v>#DIV/0!</v>
      </c>
      <c r="T65" s="261">
        <f>-SUM(IF(AND('Cash Flow'!V65&gt;=Debt!$E$10,'Cash Flow'!V65&lt;=Debt!$E$15),VLOOKUP('Cash Flow'!V65,Loan1,6,FALSE),0),IF(AND('Cash Flow'!V65&gt;=Debt!$G$10,'Cash Flow'!V65&lt;=Debt!$G$15,SwitchMezz="Yes"),VLOOKUP('Cash Flow'!V65,Loan2,6,FALSE),0),IF(AND('Cash Flow'!V65&gt;=Debt!$I$10,'Cash Flow'!V65&lt;=Debt!$I$15,YEAR(V65)&gt;=YEAR(Debt!$I$10),SwitchRefi="Yes"),VLOOKUP('Cash Flow'!V65,Loan3,6,FALSE),0))</f>
        <v>-5006285.3545824634</v>
      </c>
      <c r="U65" s="260" t="e">
        <f>'Cash Flow'!I28/Input!$B$31</f>
        <v>#DIV/0!</v>
      </c>
      <c r="V65" s="262">
        <f>H3</f>
        <v>46753</v>
      </c>
      <c r="X65" s="43"/>
    </row>
    <row r="66" spans="1:24" ht="9" hidden="1">
      <c r="A66" s="589"/>
      <c r="B66" s="718"/>
      <c r="C66" s="589"/>
      <c r="D66" s="589"/>
      <c r="E66" s="597">
        <v>3</v>
      </c>
      <c r="F66" s="718" t="e">
        <f>IRR(G66:J66)</f>
        <v>#VALUE!</v>
      </c>
      <c r="G66" s="841">
        <f t="shared" si="17"/>
        <v>-4207500</v>
      </c>
      <c r="H66" s="841">
        <f t="shared" si="18"/>
        <v>211142.43028868345</v>
      </c>
      <c r="I66" s="841">
        <f t="shared" ref="I66:I74" si="19">$H$41</f>
        <v>228601.57412868345</v>
      </c>
      <c r="J66" s="841" t="e">
        <f>Q66</f>
        <v>#DIV/0!</v>
      </c>
      <c r="K66" s="842"/>
      <c r="L66" s="842"/>
      <c r="M66" s="842"/>
      <c r="N66" s="842"/>
      <c r="O66" s="842"/>
      <c r="P66" s="842"/>
      <c r="Q66" s="719" t="e">
        <f>T66+U66+S66+J73</f>
        <v>#DIV/0!</v>
      </c>
      <c r="R66" s="720"/>
      <c r="S66" s="720" t="e">
        <f>-U66*Input!$B$32</f>
        <v>#DIV/0!</v>
      </c>
      <c r="T66" s="261">
        <f>-SUM(IF(AND('Cash Flow'!V66&gt;=Debt!$E$10,'Cash Flow'!V66&lt;=Debt!$E$15),VLOOKUP('Cash Flow'!V66,Loan1,6,FALSE),0),IF(AND('Cash Flow'!V66&gt;=Debt!$G$10,'Cash Flow'!V66&lt;=Debt!$G$15,SwitchMezz="Yes"),VLOOKUP('Cash Flow'!V66,Loan2,6,FALSE),0),IF(AND('Cash Flow'!V66&gt;=Debt!$I$10,'Cash Flow'!V66&lt;=Debt!$I$15,YEAR(V66)&gt;=YEAR(Debt!$I$10),SwitchRefi="Yes"),VLOOKUP('Cash Flow'!V66,Loan3,6,FALSE),0))</f>
        <v>-4932088.8159426171</v>
      </c>
      <c r="U66" s="260" t="e">
        <f>'Cash Flow'!J28/Input!$B$31</f>
        <v>#DIV/0!</v>
      </c>
      <c r="V66" s="262">
        <f>I3</f>
        <v>47119</v>
      </c>
      <c r="X66" s="43"/>
    </row>
    <row r="67" spans="1:24" ht="9" hidden="1">
      <c r="A67" s="589"/>
      <c r="B67" s="718"/>
      <c r="C67" s="589"/>
      <c r="D67" s="589"/>
      <c r="E67" s="597">
        <v>4</v>
      </c>
      <c r="F67" s="718" t="e">
        <f>IRR(G67:K67)</f>
        <v>#VALUE!</v>
      </c>
      <c r="G67" s="841">
        <f t="shared" si="17"/>
        <v>-4207500</v>
      </c>
      <c r="H67" s="841">
        <f t="shared" si="18"/>
        <v>211142.43028868345</v>
      </c>
      <c r="I67" s="841">
        <f t="shared" si="19"/>
        <v>228601.57412868345</v>
      </c>
      <c r="J67" s="841">
        <f t="shared" ref="J67:J74" si="20">$I$41</f>
        <v>255647.69829828339</v>
      </c>
      <c r="K67" s="841" t="e">
        <f>Q67</f>
        <v>#DIV/0!</v>
      </c>
      <c r="L67" s="842"/>
      <c r="M67" s="842"/>
      <c r="N67" s="842"/>
      <c r="O67" s="842"/>
      <c r="P67" s="842"/>
      <c r="Q67" s="719" t="e">
        <f>T67+U67+S67+K73</f>
        <v>#DIV/0!</v>
      </c>
      <c r="R67" s="720"/>
      <c r="S67" s="720" t="e">
        <f>-U67*Input!$B$32</f>
        <v>#DIV/0!</v>
      </c>
      <c r="T67" s="261">
        <f>-SUM(IF(AND('Cash Flow'!V67&gt;=Debt!$E$10,'Cash Flow'!V67&lt;=Debt!$E$15),VLOOKUP('Cash Flow'!V67,Loan1,6,FALSE),0),IF(AND('Cash Flow'!V67&gt;=Debt!$G$10,'Cash Flow'!V67&lt;=Debt!$G$15,SwitchMezz="Yes"),VLOOKUP('Cash Flow'!V67,Loan2,6,FALSE),0),IF(AND('Cash Flow'!V67&gt;=Debt!$I$10,'Cash Flow'!V67&lt;=Debt!$I$15,YEAR(V67)&gt;=YEAR(Debt!$I$10),SwitchRefi="Yes"),VLOOKUP('Cash Flow'!V67,Loan3,6,FALSE),0))</f>
        <v>0</v>
      </c>
      <c r="U67" s="260" t="e">
        <f>'Cash Flow'!K28/Input!$B$31</f>
        <v>#DIV/0!</v>
      </c>
      <c r="V67" s="262">
        <f>J3</f>
        <v>47484</v>
      </c>
      <c r="X67" s="43"/>
    </row>
    <row r="68" spans="1:24" ht="9" hidden="1">
      <c r="A68" s="589"/>
      <c r="B68" s="718"/>
      <c r="C68" s="589"/>
      <c r="D68" s="589"/>
      <c r="E68" s="597">
        <v>5</v>
      </c>
      <c r="F68" s="718" t="e">
        <f>IRR(G68:L68)</f>
        <v>#VALUE!</v>
      </c>
      <c r="G68" s="841">
        <f t="shared" si="17"/>
        <v>-4207500</v>
      </c>
      <c r="H68" s="841">
        <f t="shared" si="18"/>
        <v>211142.43028868345</v>
      </c>
      <c r="I68" s="841">
        <f t="shared" si="19"/>
        <v>228601.57412868345</v>
      </c>
      <c r="J68" s="841">
        <f t="shared" si="20"/>
        <v>255647.69829828339</v>
      </c>
      <c r="K68" s="841">
        <f t="shared" ref="K68:K74" si="21">$J$41</f>
        <v>653074.81645651208</v>
      </c>
      <c r="L68" s="841" t="e">
        <f>Q68</f>
        <v>#DIV/0!</v>
      </c>
      <c r="M68" s="842"/>
      <c r="N68" s="842"/>
      <c r="O68" s="842"/>
      <c r="P68" s="842"/>
      <c r="Q68" s="719" t="e">
        <f>T68+U68+S68+L73</f>
        <v>#DIV/0!</v>
      </c>
      <c r="R68" s="720"/>
      <c r="S68" s="720" t="e">
        <f>-U68*Input!$B$32</f>
        <v>#DIV/0!</v>
      </c>
      <c r="T68" s="261">
        <f>-SUM(IF(AND('Cash Flow'!V68&gt;=Debt!$E$10,'Cash Flow'!V68&lt;=Debt!$E$15),VLOOKUP('Cash Flow'!V68,Loan1,6,FALSE),0),IF(AND('Cash Flow'!V68&gt;=Debt!$G$10,'Cash Flow'!V68&lt;=Debt!$G$15,SwitchMezz="Yes"),VLOOKUP('Cash Flow'!V68,Loan2,6,FALSE),0),IF(AND('Cash Flow'!V68&gt;=Debt!$I$10,'Cash Flow'!V68&lt;=Debt!$I$15,YEAR(V68)&gt;=YEAR(Debt!$I$10),SwitchRefi="Yes"),VLOOKUP('Cash Flow'!V68,Loan3,6,FALSE),0))</f>
        <v>0</v>
      </c>
      <c r="U68" s="260" t="e">
        <f>'Cash Flow'!L28/Input!$B$31</f>
        <v>#DIV/0!</v>
      </c>
      <c r="V68" s="262">
        <f>K3</f>
        <v>47849</v>
      </c>
      <c r="X68" s="43"/>
    </row>
    <row r="69" spans="1:24" ht="9" hidden="1">
      <c r="A69" s="589"/>
      <c r="B69" s="718"/>
      <c r="C69" s="589"/>
      <c r="D69" s="589"/>
      <c r="E69" s="597">
        <v>6</v>
      </c>
      <c r="F69" s="718" t="e">
        <f>IRR(G69:M69)</f>
        <v>#VALUE!</v>
      </c>
      <c r="G69" s="841">
        <f t="shared" si="17"/>
        <v>-4207500</v>
      </c>
      <c r="H69" s="841">
        <f t="shared" si="18"/>
        <v>211142.43028868345</v>
      </c>
      <c r="I69" s="841">
        <f t="shared" si="19"/>
        <v>228601.57412868345</v>
      </c>
      <c r="J69" s="841">
        <f t="shared" si="20"/>
        <v>255647.69829828339</v>
      </c>
      <c r="K69" s="841">
        <f t="shared" si="21"/>
        <v>653074.81645651208</v>
      </c>
      <c r="L69" s="841">
        <f t="shared" ref="L69:L74" si="22">$K$41</f>
        <v>693378.70664121001</v>
      </c>
      <c r="M69" s="841" t="e">
        <f>Q69</f>
        <v>#DIV/0!</v>
      </c>
      <c r="N69" s="842"/>
      <c r="O69" s="842"/>
      <c r="P69" s="842"/>
      <c r="Q69" s="719" t="e">
        <f>T69+U69+S69+M73</f>
        <v>#DIV/0!</v>
      </c>
      <c r="R69" s="720"/>
      <c r="S69" s="720" t="e">
        <f>-U69*Input!$B$32</f>
        <v>#DIV/0!</v>
      </c>
      <c r="T69" s="261">
        <f>-SUM(IF(AND('Cash Flow'!V69&gt;=Debt!$E$10,'Cash Flow'!V69&lt;=Debt!$E$15),VLOOKUP('Cash Flow'!V69,Loan1,6,FALSE),0),IF(AND('Cash Flow'!V69&gt;=Debt!$G$10,'Cash Flow'!V69&lt;=Debt!$G$15,SwitchMezz="Yes"),VLOOKUP('Cash Flow'!V69,Loan2,6,FALSE),0),IF(AND('Cash Flow'!V69&gt;=Debt!$I$10,'Cash Flow'!V69&lt;=Debt!$I$15,YEAR(V69)&gt;=YEAR(Debt!$I$10),SwitchRefi="Yes"),VLOOKUP('Cash Flow'!V69,Loan3,6,FALSE),0))</f>
        <v>0</v>
      </c>
      <c r="U69" s="260" t="e">
        <f>'Cash Flow'!M28/Input!$B$31</f>
        <v>#DIV/0!</v>
      </c>
      <c r="V69" s="262">
        <f>L3</f>
        <v>48214</v>
      </c>
      <c r="X69" s="43"/>
    </row>
    <row r="70" spans="1:24" ht="9" hidden="1">
      <c r="A70" s="589"/>
      <c r="B70" s="718"/>
      <c r="C70" s="589"/>
      <c r="D70" s="589"/>
      <c r="E70" s="597">
        <v>7</v>
      </c>
      <c r="F70" s="718" t="e">
        <f>IRR(G70:N70)</f>
        <v>#VALUE!</v>
      </c>
      <c r="G70" s="841">
        <f t="shared" si="17"/>
        <v>-4207500</v>
      </c>
      <c r="H70" s="841">
        <f t="shared" si="18"/>
        <v>211142.43028868345</v>
      </c>
      <c r="I70" s="841">
        <f t="shared" si="19"/>
        <v>228601.57412868345</v>
      </c>
      <c r="J70" s="841">
        <f t="shared" si="20"/>
        <v>255647.69829828339</v>
      </c>
      <c r="K70" s="841">
        <f t="shared" si="21"/>
        <v>653074.81645651208</v>
      </c>
      <c r="L70" s="841">
        <f t="shared" si="22"/>
        <v>693378.70664121001</v>
      </c>
      <c r="M70" s="841">
        <f>$L$41</f>
        <v>715384.73388945067</v>
      </c>
      <c r="N70" s="841" t="e">
        <f>Q70</f>
        <v>#DIV/0!</v>
      </c>
      <c r="O70" s="842"/>
      <c r="P70" s="842"/>
      <c r="Q70" s="719" t="e">
        <f>T70+U70+S70+N73</f>
        <v>#DIV/0!</v>
      </c>
      <c r="R70" s="720"/>
      <c r="S70" s="720" t="e">
        <f>-U70*Input!$B$32</f>
        <v>#DIV/0!</v>
      </c>
      <c r="T70" s="261">
        <f>-SUM(IF(AND('Cash Flow'!V70&gt;=Debt!$E$10,'Cash Flow'!V70&lt;=Debt!$E$15),VLOOKUP('Cash Flow'!V70,Loan1,6,FALSE),0),IF(AND('Cash Flow'!V70&gt;=Debt!$G$10,'Cash Flow'!V70&lt;=Debt!$G$15,SwitchMezz="Yes"),VLOOKUP('Cash Flow'!V70,Loan2,6,FALSE),0),IF(AND('Cash Flow'!V70&gt;=Debt!$I$10,'Cash Flow'!V70&lt;=Debt!$I$15,YEAR(V70)&gt;=YEAR(Debt!$I$10),SwitchRefi="Yes"),VLOOKUP('Cash Flow'!V70,Loan3,6,FALSE),0))</f>
        <v>0</v>
      </c>
      <c r="U70" s="260" t="e">
        <f>'Cash Flow'!N28/Input!$B$31</f>
        <v>#DIV/0!</v>
      </c>
      <c r="V70" s="262">
        <f>M3</f>
        <v>48580</v>
      </c>
      <c r="X70" s="43"/>
    </row>
    <row r="71" spans="1:24" ht="9" hidden="1">
      <c r="A71" s="589"/>
      <c r="B71" s="718"/>
      <c r="C71" s="589"/>
      <c r="D71" s="589"/>
      <c r="E71" s="597">
        <v>8</v>
      </c>
      <c r="F71" s="718" t="e">
        <f>IRR(G71:O71)</f>
        <v>#VALUE!</v>
      </c>
      <c r="G71" s="841">
        <f t="shared" si="17"/>
        <v>-4207500</v>
      </c>
      <c r="H71" s="841">
        <f t="shared" si="18"/>
        <v>211142.43028868345</v>
      </c>
      <c r="I71" s="841">
        <f t="shared" si="19"/>
        <v>228601.57412868345</v>
      </c>
      <c r="J71" s="841">
        <f t="shared" si="20"/>
        <v>255647.69829828339</v>
      </c>
      <c r="K71" s="841">
        <f t="shared" si="21"/>
        <v>653074.81645651208</v>
      </c>
      <c r="L71" s="841">
        <f t="shared" si="22"/>
        <v>693378.70664121001</v>
      </c>
      <c r="M71" s="841">
        <f>$L$41</f>
        <v>715384.73388945067</v>
      </c>
      <c r="N71" s="841">
        <f>$M$41</f>
        <v>738072.60527611896</v>
      </c>
      <c r="O71" s="841" t="e">
        <f>Q71</f>
        <v>#DIV/0!</v>
      </c>
      <c r="P71" s="842"/>
      <c r="Q71" s="719" t="e">
        <f>T71+U71+S71+O73</f>
        <v>#DIV/0!</v>
      </c>
      <c r="R71" s="720"/>
      <c r="S71" s="720" t="e">
        <f>-U71*Input!$B$32</f>
        <v>#DIV/0!</v>
      </c>
      <c r="T71" s="261">
        <f>-SUM(IF(AND('Cash Flow'!V71&gt;=Debt!$E$10,'Cash Flow'!V71&lt;=Debt!$E$15),VLOOKUP('Cash Flow'!V71,Loan1,6,FALSE),0),IF(AND('Cash Flow'!V71&gt;=Debt!$G$10,'Cash Flow'!V71&lt;=Debt!$G$15,SwitchMezz="Yes"),VLOOKUP('Cash Flow'!V71,Loan2,6,FALSE),0),IF(AND('Cash Flow'!V71&gt;=Debt!$I$10,'Cash Flow'!V71&lt;=Debt!$I$15,YEAR(V71)&gt;=YEAR(Debt!$I$10),SwitchRefi="Yes"),VLOOKUP('Cash Flow'!V71,Loan3,6,FALSE),0))</f>
        <v>0</v>
      </c>
      <c r="U71" s="260" t="e">
        <f>'Cash Flow'!O28/Input!$B$31</f>
        <v>#DIV/0!</v>
      </c>
      <c r="V71" s="262">
        <f>N3</f>
        <v>48945</v>
      </c>
      <c r="X71" s="43"/>
    </row>
    <row r="72" spans="1:24" ht="9" hidden="1">
      <c r="A72" s="589"/>
      <c r="B72" s="718"/>
      <c r="C72" s="589"/>
      <c r="D72" s="589"/>
      <c r="E72" s="597">
        <v>9</v>
      </c>
      <c r="F72" s="718" t="e">
        <f>IRR(G72:P72)</f>
        <v>#VALUE!</v>
      </c>
      <c r="G72" s="841">
        <f t="shared" si="17"/>
        <v>-4207500</v>
      </c>
      <c r="H72" s="841">
        <f t="shared" si="18"/>
        <v>211142.43028868345</v>
      </c>
      <c r="I72" s="841">
        <f t="shared" si="19"/>
        <v>228601.57412868345</v>
      </c>
      <c r="J72" s="841">
        <f t="shared" si="20"/>
        <v>255647.69829828339</v>
      </c>
      <c r="K72" s="841">
        <f t="shared" si="21"/>
        <v>653074.81645651208</v>
      </c>
      <c r="L72" s="841">
        <f t="shared" si="22"/>
        <v>693378.70664121001</v>
      </c>
      <c r="M72" s="841">
        <f>$L$41</f>
        <v>715384.73388945067</v>
      </c>
      <c r="N72" s="841">
        <f>$M$41</f>
        <v>738072.60527611896</v>
      </c>
      <c r="O72" s="841">
        <f>$N$41</f>
        <v>761463.20939178695</v>
      </c>
      <c r="P72" s="841" t="e">
        <f>Q72</f>
        <v>#DIV/0!</v>
      </c>
      <c r="Q72" s="719" t="e">
        <f>T72+U72+S72+P73</f>
        <v>#DIV/0!</v>
      </c>
      <c r="R72" s="720"/>
      <c r="S72" s="720" t="e">
        <f>-U72*Input!$B$32</f>
        <v>#DIV/0!</v>
      </c>
      <c r="T72" s="261">
        <f>-SUM(IF(AND('Cash Flow'!V72&gt;=Debt!$E$10,'Cash Flow'!V72&lt;=Debt!$E$15),VLOOKUP('Cash Flow'!V72,Loan1,6,FALSE),0),IF(AND('Cash Flow'!V72&gt;=Debt!$G$10,'Cash Flow'!V72&lt;=Debt!$G$15,SwitchMezz="Yes"),VLOOKUP('Cash Flow'!V72,Loan2,6,FALSE),0),IF(AND('Cash Flow'!V72&gt;=Debt!$I$10,'Cash Flow'!V72&lt;=Debt!$I$15,YEAR(V72)&gt;=YEAR(Debt!$I$10),SwitchRefi="Yes"),VLOOKUP('Cash Flow'!V72,Loan3,6,FALSE),0))</f>
        <v>0</v>
      </c>
      <c r="U72" s="260" t="e">
        <f>'Cash Flow'!P28/Input!$B$31</f>
        <v>#DIV/0!</v>
      </c>
      <c r="V72" s="262">
        <f>O3</f>
        <v>49310</v>
      </c>
      <c r="X72" s="43"/>
    </row>
    <row r="73" spans="1:24" ht="9" hidden="1">
      <c r="A73" s="589"/>
      <c r="B73" s="718"/>
      <c r="C73" s="589"/>
      <c r="D73" s="589"/>
      <c r="E73" s="597">
        <v>10</v>
      </c>
      <c r="F73" s="718" t="e">
        <f>IRR(G73:Q73)</f>
        <v>#VALUE!</v>
      </c>
      <c r="G73" s="841">
        <f t="shared" si="17"/>
        <v>-4207500</v>
      </c>
      <c r="H73" s="841">
        <f t="shared" si="18"/>
        <v>211142.43028868345</v>
      </c>
      <c r="I73" s="841">
        <f t="shared" si="19"/>
        <v>228601.57412868345</v>
      </c>
      <c r="J73" s="841">
        <f t="shared" si="20"/>
        <v>255647.69829828339</v>
      </c>
      <c r="K73" s="841">
        <f t="shared" si="21"/>
        <v>653074.81645651208</v>
      </c>
      <c r="L73" s="841">
        <f t="shared" si="22"/>
        <v>693378.70664121001</v>
      </c>
      <c r="M73" s="841">
        <f>$L$41</f>
        <v>715384.73388945067</v>
      </c>
      <c r="N73" s="841">
        <f>$M$41</f>
        <v>738072.60527611896</v>
      </c>
      <c r="O73" s="841">
        <f>$N$41</f>
        <v>761463.20939178695</v>
      </c>
      <c r="P73" s="841">
        <f>$O$41</f>
        <v>785578.07015007245</v>
      </c>
      <c r="Q73" s="719" t="e">
        <f>T73+U73+S73-P29</f>
        <v>#DIV/0!</v>
      </c>
      <c r="R73" s="725"/>
      <c r="S73" s="720" t="e">
        <f>-U73*Input!$B$32</f>
        <v>#DIV/0!</v>
      </c>
      <c r="T73" s="261">
        <f>-SUM(IF(AND('Cash Flow'!V73&gt;=Debt!$E$10,'Cash Flow'!V73&lt;=Debt!$E$15),VLOOKUP('Cash Flow'!V73,Loan1,6,FALSE),0),IF(AND('Cash Flow'!V73&gt;=Debt!$G$10,'Cash Flow'!V73&lt;=Debt!$G$15,SwitchMezz="Yes"),VLOOKUP('Cash Flow'!V73,Loan2,6,FALSE),0),IF(AND('Cash Flow'!V73&gt;=Debt!$I$10,'Cash Flow'!V73&lt;=Debt!$I$15,YEAR(V73)&gt;=YEAR(Debt!$I$10),SwitchRefi="Yes"),VLOOKUP('Cash Flow'!V73,Loan3,6,FALSE),0))</f>
        <v>0</v>
      </c>
      <c r="U73" s="260" t="e">
        <f>'Cash Flow'!P28*(1+T28)/Input!$B$31</f>
        <v>#DIV/0!</v>
      </c>
      <c r="V73" s="262">
        <f>P3</f>
        <v>49675</v>
      </c>
      <c r="X73" s="43"/>
    </row>
    <row r="74" spans="1:24" ht="9" hidden="1">
      <c r="A74" s="589"/>
      <c r="B74" s="718"/>
      <c r="C74" s="589"/>
      <c r="D74" s="589"/>
      <c r="E74" s="721">
        <v>11</v>
      </c>
      <c r="F74" s="722" t="e">
        <f>IRR(H74:R74)</f>
        <v>#VALUE!</v>
      </c>
      <c r="G74" s="843"/>
      <c r="H74" s="844">
        <f>$F$41</f>
        <v>-4207500</v>
      </c>
      <c r="I74" s="844">
        <f t="shared" si="19"/>
        <v>228601.57412868345</v>
      </c>
      <c r="J74" s="844">
        <f t="shared" si="20"/>
        <v>255647.69829828339</v>
      </c>
      <c r="K74" s="844">
        <f t="shared" si="21"/>
        <v>653074.81645651208</v>
      </c>
      <c r="L74" s="844">
        <f t="shared" si="22"/>
        <v>693378.70664121001</v>
      </c>
      <c r="M74" s="844">
        <f>$L$41</f>
        <v>715384.73388945067</v>
      </c>
      <c r="N74" s="844">
        <f>$M$41</f>
        <v>738072.60527611896</v>
      </c>
      <c r="O74" s="844">
        <f>$N$41</f>
        <v>761463.20939178695</v>
      </c>
      <c r="P74" s="844">
        <f>$O$41</f>
        <v>785578.07015007245</v>
      </c>
      <c r="Q74" s="726">
        <f>P28+SUM(P39:P40)</f>
        <v>810439.36602063733</v>
      </c>
      <c r="R74" s="724" t="e">
        <f>V61+(U74+T74+S74)</f>
        <v>#DIV/0!</v>
      </c>
      <c r="S74" s="727" t="e">
        <f>-U74*Input!$B$32</f>
        <v>#DIV/0!</v>
      </c>
      <c r="T74" s="225">
        <f>-SUM(IF(AND('Cash Flow'!V74&gt;=DATE(YEAR(Debt!$E$10)+1,MONTH(Debt!$E$10),DAY(Debt!$E$10)),'Cash Flow'!V74&lt;=DATE(YEAR(Debt!$E$15)+1,MONTH(Debt!$E$15),DAY(Debt!$E$15))),VLOOKUP(DATE(YEAR('Cash Flow'!V74)-1,MONTH('Cash Flow'!V74),DAY('Cash Flow'!V74)),Loan1,6,FALSE),0),IF(AND('Cash Flow'!V74&gt;=DATE(YEAR(Debt!$G$10)+1,MONTH(Debt!$G$10),DAY(Debt!$G$10)),'Cash Flow'!V74&lt;=DATE(YEAR(Debt!$G$15)-1,MONTH(Debt!$G$15),DAY(Debt!$G$15)),SwitchMezz="Yes"),VLOOKUP(DATE(YEAR('Cash Flow'!V74)-1,MONTH('Cash Flow'!V74),DAY('Cash Flow'!V74)),Loan2,6,FALSE),0),IF(AND('Cash Flow'!V74&gt;=DATE(YEAR(Debt!$I$10)+1,MONTH(Debt!$I$10),DAY(Debt!$I$10)),'Cash Flow'!V74&lt;=DATE(YEAR(Debt!$I$15)+1,MONTH(Debt!$I$15),DAY(Debt!$I$15)),SwitchRefi="Yes"),VLOOKUP(DATE(YEAR('Cash Flow'!V74)-1,MONTH('Cash Flow'!V74),DAY('Cash Flow'!V74)),Loan3,6,FALSE),0))</f>
        <v>0</v>
      </c>
      <c r="U74" s="225" t="e">
        <f>U61/Input!B31</f>
        <v>#DIV/0!</v>
      </c>
      <c r="V74" s="226">
        <f>DATE(YEAR(V73)+1,MONTH(V73),DAY(1))</f>
        <v>50041</v>
      </c>
    </row>
    <row r="75" spans="1:24" ht="9" hidden="1">
      <c r="A75" s="589"/>
      <c r="B75" s="589"/>
      <c r="C75" s="589"/>
      <c r="D75" s="589"/>
      <c r="E75" s="597"/>
      <c r="F75" s="646"/>
      <c r="G75" s="646"/>
      <c r="H75" s="646"/>
      <c r="I75" s="646"/>
      <c r="J75" s="646"/>
      <c r="K75" s="845"/>
      <c r="L75" s="845"/>
      <c r="M75" s="845"/>
      <c r="N75" s="845"/>
      <c r="O75" s="845"/>
      <c r="P75" s="845"/>
      <c r="Q75" s="728"/>
      <c r="R75" s="589"/>
      <c r="S75" s="589"/>
    </row>
    <row r="76" spans="1:24" ht="9" hidden="1">
      <c r="A76" s="589"/>
      <c r="B76" s="589"/>
      <c r="C76" s="589"/>
      <c r="D76" s="589"/>
      <c r="E76" s="597"/>
      <c r="F76" s="646"/>
      <c r="G76" s="646">
        <v>1</v>
      </c>
      <c r="H76" s="646">
        <v>2</v>
      </c>
      <c r="I76" s="646">
        <v>3</v>
      </c>
      <c r="J76" s="646">
        <v>4</v>
      </c>
      <c r="K76" s="646">
        <v>5</v>
      </c>
      <c r="L76" s="646">
        <v>6</v>
      </c>
      <c r="M76" s="646">
        <v>7</v>
      </c>
      <c r="N76" s="646">
        <v>8</v>
      </c>
      <c r="O76" s="646">
        <v>9</v>
      </c>
      <c r="P76" s="646"/>
      <c r="Q76" s="597"/>
      <c r="R76" s="589"/>
      <c r="S76" s="589"/>
    </row>
    <row r="77" spans="1:24" ht="9" hidden="1">
      <c r="A77" s="589"/>
      <c r="B77" s="589"/>
      <c r="C77" s="589"/>
      <c r="D77" s="589"/>
      <c r="E77" s="597"/>
      <c r="F77" s="646"/>
      <c r="G77" s="845">
        <f t="shared" ref="G77:O77" si="23">G41/-$F$41</f>
        <v>5.0182395790536766E-2</v>
      </c>
      <c r="H77" s="845">
        <f t="shared" si="23"/>
        <v>5.4331924926603319E-2</v>
      </c>
      <c r="I77" s="845">
        <f t="shared" si="23"/>
        <v>6.075999959555161E-2</v>
      </c>
      <c r="J77" s="845">
        <f t="shared" si="23"/>
        <v>0.15521683100570696</v>
      </c>
      <c r="K77" s="845">
        <f t="shared" si="23"/>
        <v>0.16479588987313371</v>
      </c>
      <c r="L77" s="845">
        <f t="shared" si="23"/>
        <v>0.17002608054413562</v>
      </c>
      <c r="M77" s="845">
        <f t="shared" si="23"/>
        <v>0.1754183256746569</v>
      </c>
      <c r="N77" s="845">
        <f t="shared" si="23"/>
        <v>0.18097758987327081</v>
      </c>
      <c r="O77" s="845">
        <f t="shared" si="23"/>
        <v>0.18670898874630362</v>
      </c>
      <c r="P77" s="846"/>
      <c r="Q77" s="597"/>
      <c r="R77" s="589"/>
      <c r="S77" s="589"/>
    </row>
    <row r="78" spans="1:24" ht="9">
      <c r="A78" s="589"/>
      <c r="B78" s="589"/>
      <c r="C78" s="589"/>
      <c r="D78" s="589"/>
      <c r="E78" s="597"/>
      <c r="F78" s="646"/>
      <c r="G78" s="646"/>
      <c r="H78" s="646"/>
      <c r="I78" s="646"/>
      <c r="J78" s="646"/>
      <c r="K78" s="646"/>
      <c r="L78" s="646"/>
      <c r="M78" s="646"/>
      <c r="N78" s="646"/>
      <c r="O78" s="646"/>
      <c r="P78" s="646"/>
      <c r="Q78" s="597"/>
      <c r="R78" s="589"/>
      <c r="S78" s="589"/>
    </row>
    <row r="79" spans="1:24" ht="9">
      <c r="A79" s="589"/>
      <c r="B79" s="589"/>
      <c r="C79" s="589"/>
      <c r="D79" s="589"/>
      <c r="E79" s="597"/>
      <c r="F79" s="729"/>
      <c r="G79" s="646"/>
      <c r="H79" s="646"/>
      <c r="I79" s="646"/>
      <c r="J79" s="646"/>
      <c r="K79" s="646"/>
      <c r="L79" s="646"/>
      <c r="M79" s="646"/>
      <c r="N79" s="646"/>
      <c r="O79" s="646"/>
      <c r="P79" s="646"/>
      <c r="Q79" s="597"/>
      <c r="R79" s="589"/>
      <c r="S79" s="589"/>
    </row>
    <row r="80" spans="1:24" ht="9">
      <c r="A80" s="589"/>
      <c r="B80" s="589"/>
      <c r="C80" s="589"/>
      <c r="D80" s="589"/>
      <c r="E80" s="597"/>
      <c r="F80" s="729"/>
      <c r="G80" s="646"/>
      <c r="H80" s="646"/>
      <c r="I80" s="646"/>
      <c r="J80" s="646"/>
      <c r="K80" s="646"/>
      <c r="L80" s="646"/>
      <c r="M80" s="646"/>
      <c r="N80" s="646"/>
      <c r="O80" s="646"/>
      <c r="P80" s="646"/>
      <c r="Q80" s="597"/>
      <c r="R80" s="589"/>
      <c r="S80" s="589"/>
    </row>
    <row r="81" spans="1:19" ht="11.25" customHeight="1">
      <c r="A81" s="589"/>
      <c r="B81" s="589"/>
      <c r="C81" s="589"/>
      <c r="D81" s="589"/>
      <c r="E81" s="597"/>
      <c r="F81" s="729"/>
      <c r="G81" s="646"/>
      <c r="H81" s="646"/>
      <c r="I81" s="646"/>
      <c r="J81" s="646"/>
      <c r="K81" s="646"/>
      <c r="L81" s="646"/>
      <c r="M81" s="646"/>
      <c r="N81" s="646"/>
      <c r="O81" s="646"/>
      <c r="P81" s="646"/>
      <c r="Q81" s="597"/>
      <c r="R81" s="589"/>
      <c r="S81" s="589"/>
    </row>
    <row r="82" spans="1:19" ht="11.25" customHeight="1">
      <c r="A82" s="589"/>
      <c r="B82" s="589"/>
      <c r="C82" s="589"/>
      <c r="D82" s="589"/>
      <c r="E82" s="597"/>
      <c r="F82" s="729"/>
      <c r="G82" s="646"/>
      <c r="H82" s="646"/>
      <c r="I82" s="646"/>
      <c r="J82" s="646"/>
      <c r="K82" s="646"/>
      <c r="L82" s="646"/>
      <c r="M82" s="646"/>
      <c r="N82" s="646"/>
      <c r="O82" s="646"/>
      <c r="P82" s="646"/>
      <c r="Q82" s="597"/>
      <c r="R82" s="589"/>
      <c r="S82" s="589"/>
    </row>
    <row r="83" spans="1:19" ht="11.25" customHeight="1">
      <c r="A83" s="589"/>
      <c r="B83" s="589"/>
      <c r="C83" s="589"/>
      <c r="D83" s="589"/>
      <c r="E83" s="597"/>
      <c r="F83" s="729"/>
      <c r="G83" s="646"/>
      <c r="H83" s="646"/>
      <c r="I83" s="646"/>
      <c r="J83" s="646"/>
      <c r="K83" s="646"/>
      <c r="L83" s="646"/>
      <c r="M83" s="646"/>
      <c r="N83" s="646"/>
      <c r="O83" s="646"/>
      <c r="P83" s="646"/>
      <c r="Q83" s="597"/>
      <c r="R83" s="589"/>
      <c r="S83" s="589"/>
    </row>
    <row r="84" spans="1:19" ht="11.25" customHeight="1">
      <c r="A84" s="589"/>
      <c r="B84" s="589"/>
      <c r="C84" s="589"/>
      <c r="D84" s="589"/>
      <c r="E84" s="597"/>
      <c r="F84" s="729"/>
      <c r="G84" s="646"/>
      <c r="H84" s="646"/>
      <c r="I84" s="646"/>
      <c r="J84" s="646"/>
      <c r="K84" s="646"/>
      <c r="L84" s="646"/>
      <c r="M84" s="646"/>
      <c r="N84" s="646"/>
      <c r="O84" s="646"/>
      <c r="P84" s="646"/>
      <c r="Q84" s="597"/>
      <c r="R84" s="589"/>
      <c r="S84" s="589"/>
    </row>
    <row r="85" spans="1:19" ht="11.25" customHeight="1">
      <c r="A85" s="589"/>
      <c r="B85" s="589"/>
      <c r="C85" s="589"/>
      <c r="D85" s="589"/>
      <c r="E85" s="597"/>
      <c r="F85" s="729"/>
      <c r="G85" s="847"/>
      <c r="H85" s="847"/>
      <c r="I85" s="847"/>
      <c r="J85" s="847"/>
      <c r="K85" s="847"/>
      <c r="L85" s="847"/>
      <c r="M85" s="847"/>
      <c r="N85" s="847"/>
      <c r="O85" s="847"/>
      <c r="P85" s="646"/>
      <c r="Q85" s="597"/>
      <c r="R85" s="589"/>
      <c r="S85" s="589"/>
    </row>
    <row r="86" spans="1:19" ht="11.25" customHeight="1">
      <c r="A86" s="589"/>
      <c r="B86" s="589"/>
      <c r="C86" s="589"/>
      <c r="D86" s="589"/>
      <c r="E86" s="597"/>
      <c r="F86" s="813"/>
      <c r="G86" s="646"/>
      <c r="H86" s="646"/>
      <c r="I86" s="646"/>
      <c r="J86" s="646"/>
      <c r="K86" s="646"/>
      <c r="L86" s="646"/>
      <c r="M86" s="646"/>
      <c r="N86" s="646"/>
      <c r="O86" s="646"/>
      <c r="P86" s="646"/>
      <c r="Q86" s="597"/>
      <c r="R86" s="589"/>
      <c r="S86" s="589"/>
    </row>
    <row r="87" spans="1:19" ht="11.25" customHeight="1">
      <c r="A87" s="589"/>
      <c r="B87" s="589"/>
      <c r="C87" s="589"/>
      <c r="D87" s="589"/>
      <c r="E87" s="597"/>
      <c r="F87" s="646"/>
      <c r="G87" s="646"/>
      <c r="H87" s="646"/>
      <c r="I87" s="646"/>
      <c r="J87" s="646"/>
      <c r="K87" s="646"/>
      <c r="L87" s="646"/>
      <c r="M87" s="646"/>
      <c r="N87" s="646"/>
      <c r="O87" s="646"/>
      <c r="P87" s="646"/>
      <c r="Q87" s="597"/>
      <c r="R87" s="589"/>
      <c r="S87" s="589"/>
    </row>
    <row r="88" spans="1:19" ht="11.25" customHeight="1">
      <c r="A88" s="589"/>
      <c r="B88" s="589"/>
      <c r="C88" s="589"/>
      <c r="D88" s="589"/>
      <c r="E88" s="597"/>
      <c r="F88" s="646"/>
      <c r="G88" s="646"/>
      <c r="H88" s="646"/>
      <c r="I88" s="646"/>
      <c r="J88" s="646"/>
      <c r="K88" s="646"/>
      <c r="L88" s="646"/>
      <c r="M88" s="646"/>
      <c r="N88" s="646"/>
      <c r="O88" s="646"/>
      <c r="P88" s="646"/>
      <c r="Q88" s="597"/>
      <c r="R88" s="589"/>
      <c r="S88" s="589"/>
    </row>
    <row r="89" spans="1:19" ht="11.25" customHeight="1">
      <c r="A89" s="589"/>
      <c r="B89" s="589"/>
      <c r="C89" s="589"/>
      <c r="D89" s="589"/>
      <c r="E89" s="597"/>
      <c r="F89" s="646"/>
      <c r="G89" s="646"/>
      <c r="H89" s="646"/>
      <c r="I89" s="646"/>
      <c r="J89" s="646"/>
      <c r="K89" s="646"/>
      <c r="L89" s="646"/>
      <c r="M89" s="646"/>
      <c r="N89" s="646"/>
      <c r="O89" s="646"/>
      <c r="P89" s="646"/>
      <c r="Q89" s="597"/>
      <c r="R89" s="589"/>
      <c r="S89" s="589"/>
    </row>
    <row r="90" spans="1:19">
      <c r="E90" s="25"/>
      <c r="F90" s="54"/>
      <c r="G90" s="376"/>
      <c r="H90" s="376"/>
      <c r="I90" s="376"/>
      <c r="J90" s="376"/>
      <c r="K90" s="376"/>
      <c r="L90" s="376"/>
      <c r="M90" s="376"/>
      <c r="N90" s="376"/>
      <c r="O90" s="376"/>
      <c r="P90" s="376"/>
      <c r="Q90" s="25"/>
    </row>
    <row r="91" spans="1:19">
      <c r="E91" s="25"/>
      <c r="F91" s="54"/>
      <c r="G91" s="376"/>
      <c r="H91" s="376"/>
      <c r="I91" s="376"/>
      <c r="J91" s="376"/>
      <c r="K91" s="376"/>
      <c r="L91" s="376"/>
      <c r="M91" s="376"/>
      <c r="N91" s="376"/>
      <c r="O91" s="376"/>
      <c r="P91" s="376"/>
      <c r="Q91" s="25"/>
    </row>
    <row r="92" spans="1:19">
      <c r="E92" s="25"/>
      <c r="F92" s="54"/>
      <c r="G92" s="376"/>
      <c r="H92" s="376"/>
      <c r="I92" s="376"/>
      <c r="J92" s="376"/>
      <c r="K92" s="376"/>
      <c r="L92" s="376"/>
      <c r="M92" s="376"/>
      <c r="N92" s="376"/>
      <c r="O92" s="376"/>
      <c r="P92" s="376"/>
      <c r="Q92" s="25"/>
    </row>
    <row r="93" spans="1:19">
      <c r="E93" s="25"/>
      <c r="F93" s="54"/>
      <c r="G93" s="376"/>
      <c r="H93" s="376"/>
      <c r="I93" s="376"/>
      <c r="J93" s="376"/>
      <c r="K93" s="376"/>
      <c r="L93" s="376"/>
      <c r="M93" s="376"/>
      <c r="N93" s="376"/>
      <c r="O93" s="376"/>
      <c r="P93" s="376"/>
      <c r="Q93" s="25"/>
    </row>
    <row r="94" spans="1:19">
      <c r="E94" s="25"/>
      <c r="F94" s="54"/>
      <c r="G94" s="376"/>
      <c r="H94" s="376"/>
      <c r="I94" s="376"/>
      <c r="J94" s="376"/>
      <c r="K94" s="376"/>
      <c r="L94" s="376"/>
      <c r="M94" s="376"/>
      <c r="N94" s="376"/>
      <c r="O94" s="376"/>
      <c r="P94" s="376"/>
      <c r="Q94" s="25"/>
    </row>
  </sheetData>
  <mergeCells count="5">
    <mergeCell ref="G2:P2"/>
    <mergeCell ref="E20:P20"/>
    <mergeCell ref="E30:P30"/>
    <mergeCell ref="E33:P33"/>
    <mergeCell ref="E43:P43"/>
  </mergeCells>
  <conditionalFormatting sqref="F37:F38">
    <cfRule type="expression" dxfId="62" priority="7">
      <formula>$F$38=0</formula>
    </cfRule>
  </conditionalFormatting>
  <conditionalFormatting sqref="F34">
    <cfRule type="expression" dxfId="61" priority="6">
      <formula>$F$34=0</formula>
    </cfRule>
  </conditionalFormatting>
  <conditionalFormatting sqref="F36">
    <cfRule type="expression" dxfId="60" priority="4">
      <formula>$F$36=0</formula>
    </cfRule>
  </conditionalFormatting>
  <conditionalFormatting sqref="F32">
    <cfRule type="cellIs" dxfId="59" priority="2" operator="equal">
      <formula>0</formula>
    </cfRule>
  </conditionalFormatting>
  <printOptions horizontalCentered="1" verticalCentered="1"/>
  <pageMargins left="0.5" right="0.5" top="1.75" bottom="0.5" header="0" footer="0"/>
  <pageSetup scale="72" fitToHeight="0" orientation="landscape" cellComments="atEnd" r:id="rId1"/>
  <customProperties>
    <customPr name="GUID" r:id="rId2"/>
  </customProperties>
  <ignoredErrors>
    <ignoredError sqref="G21" formulaRange="1"/>
    <ignoredError sqref="F65:F66 H64 Q64" evalError="1"/>
  </ignoredErrors>
  <extLst>
    <ext xmlns:x14="http://schemas.microsoft.com/office/spreadsheetml/2009/9/main" uri="{78C0D931-6437-407d-A8EE-F0AAD7539E65}">
      <x14:conditionalFormattings>
        <x14:conditionalFormatting xmlns:xm="http://schemas.microsoft.com/office/excel/2006/main">
          <x14:cfRule type="expression" priority="73" id="{421F109C-9340-4FC6-A128-50DF77567AC9}">
            <xm:f>Input!$B$36="No"</xm:f>
            <x14:dxf>
              <font>
                <color theme="0"/>
              </font>
            </x14:dxf>
          </x14:cfRule>
          <xm:sqref>G29:P29</xm:sqref>
        </x14:conditionalFormatting>
        <x14:conditionalFormatting xmlns:xm="http://schemas.microsoft.com/office/excel/2006/main">
          <x14:cfRule type="expression" priority="1" id="{9E2BD573-CF70-4A08-A013-29BEAA525214}">
            <xm:f>Input!$B$10="Unpriced"</xm:f>
            <x14:dxf>
              <font>
                <color theme="0"/>
              </font>
              <fill>
                <patternFill patternType="none">
                  <bgColor auto="1"/>
                </patternFill>
              </fill>
              <border>
                <left/>
                <right/>
                <top/>
                <bottom/>
                <vertical/>
                <horizontal/>
              </border>
            </x14:dxf>
          </x14:cfRule>
          <xm:sqref>E43:P46 E30:P31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tabColor theme="8" tint="0.249977111117893"/>
  </sheetPr>
  <dimension ref="A1:AF1633"/>
  <sheetViews>
    <sheetView showGridLines="0" zoomScale="130" zoomScaleNormal="130" zoomScaleSheetLayoutView="96" zoomScalePageLayoutView="170" workbookViewId="0">
      <selection activeCell="H12" sqref="H12"/>
    </sheetView>
  </sheetViews>
  <sheetFormatPr defaultColWidth="8.85546875" defaultRowHeight="9"/>
  <cols>
    <col min="1" max="1" width="1.5703125" style="21" customWidth="1"/>
    <col min="2" max="2" width="3" style="21" customWidth="1"/>
    <col min="3" max="3" width="2.140625" style="21" customWidth="1"/>
    <col min="4" max="4" width="17.42578125" style="21" customWidth="1"/>
    <col min="5" max="5" width="2.42578125" style="26" customWidth="1"/>
    <col min="6" max="10" width="14.42578125" style="26" customWidth="1"/>
    <col min="11" max="11" width="14.42578125" style="23" customWidth="1"/>
    <col min="12" max="12" width="14.42578125" style="21" customWidth="1"/>
    <col min="13" max="13" width="14.5703125" style="21" customWidth="1"/>
    <col min="14" max="14" width="14.42578125" style="21" customWidth="1"/>
    <col min="15" max="15" width="17.140625" style="21" customWidth="1"/>
    <col min="16" max="16" width="7" style="21" customWidth="1"/>
    <col min="17" max="19" width="2.5703125" style="21" customWidth="1"/>
    <col min="20" max="20" width="1.140625" style="21" customWidth="1"/>
    <col min="21" max="23" width="13.140625" style="21" bestFit="1" customWidth="1"/>
    <col min="24" max="24" width="14.85546875" style="21" bestFit="1" customWidth="1"/>
    <col min="25" max="16384" width="8.85546875" style="21"/>
  </cols>
  <sheetData>
    <row r="1" spans="1:32" ht="20.25" customHeight="1">
      <c r="A1" s="589"/>
      <c r="B1" s="690"/>
      <c r="C1" s="688" t="s">
        <v>1829</v>
      </c>
      <c r="D1" s="690"/>
      <c r="E1" s="691"/>
      <c r="F1" s="691"/>
      <c r="G1" s="691"/>
      <c r="H1" s="691"/>
      <c r="I1" s="691"/>
      <c r="J1" s="691"/>
      <c r="K1" s="690"/>
      <c r="L1" s="690"/>
      <c r="M1" s="690"/>
      <c r="N1" s="690"/>
      <c r="O1" s="690"/>
      <c r="P1" s="589"/>
      <c r="Q1" s="589"/>
      <c r="R1" s="589"/>
      <c r="S1" s="589"/>
      <c r="T1" s="589"/>
      <c r="U1" s="597"/>
      <c r="V1" s="597"/>
      <c r="W1" s="25"/>
      <c r="X1" s="25"/>
      <c r="Y1" s="25"/>
      <c r="Z1" s="25"/>
      <c r="AA1" s="25"/>
      <c r="AB1" s="25"/>
      <c r="AC1" s="25"/>
      <c r="AD1" s="25"/>
      <c r="AE1" s="25"/>
      <c r="AF1" s="25"/>
    </row>
    <row r="2" spans="1:32" ht="20.25" customHeight="1">
      <c r="A2" s="589"/>
      <c r="B2" s="690"/>
      <c r="C2" s="695"/>
      <c r="D2" s="696"/>
      <c r="E2" s="696"/>
      <c r="F2" s="696"/>
      <c r="G2" s="708"/>
      <c r="H2" s="696"/>
      <c r="I2" s="696" t="s">
        <v>1830</v>
      </c>
      <c r="J2" s="696"/>
      <c r="K2" s="690"/>
      <c r="L2" s="690"/>
      <c r="M2" s="690"/>
      <c r="N2" s="690"/>
      <c r="O2" s="690"/>
      <c r="P2" s="589"/>
      <c r="Q2" s="589"/>
      <c r="R2" s="589"/>
      <c r="S2" s="589"/>
      <c r="T2" s="589"/>
      <c r="U2" s="597"/>
      <c r="V2" s="597"/>
      <c r="W2" s="25"/>
      <c r="X2" s="84"/>
      <c r="Y2" s="84"/>
      <c r="Z2" s="84"/>
      <c r="AA2" s="84"/>
      <c r="AB2" s="84"/>
      <c r="AC2" s="84"/>
      <c r="AD2" s="84"/>
      <c r="AE2" s="84"/>
      <c r="AF2" s="84"/>
    </row>
    <row r="3" spans="1:32" s="52" customFormat="1" ht="12.95" customHeight="1">
      <c r="A3" s="632"/>
      <c r="B3" s="697"/>
      <c r="C3" s="697"/>
      <c r="D3" s="1559" t="s">
        <v>1831</v>
      </c>
      <c r="E3" s="1450"/>
      <c r="F3" s="1482"/>
      <c r="G3" s="1482"/>
      <c r="H3" s="1482"/>
      <c r="I3" s="1482" t="str">
        <f>IF(AND(OR(PP_DispIncr="Both",PP_DispIncr="Top"),PP_Increments=5),AA3,"")</f>
        <v>Initial Cash-</v>
      </c>
      <c r="J3" s="1482"/>
      <c r="K3" s="1482"/>
      <c r="L3" s="1482"/>
      <c r="M3" s="1136"/>
      <c r="N3" s="1137" t="s">
        <v>1832</v>
      </c>
      <c r="O3" s="1138">
        <v>5</v>
      </c>
      <c r="P3" s="632"/>
      <c r="Q3" s="632"/>
      <c r="R3" s="632"/>
      <c r="S3" s="632"/>
      <c r="T3" s="632"/>
      <c r="U3" s="646"/>
      <c r="V3" s="646"/>
      <c r="W3" s="54"/>
      <c r="X3" s="560"/>
      <c r="Y3" s="560"/>
      <c r="Z3" s="560"/>
      <c r="AA3" s="560" t="s">
        <v>1267</v>
      </c>
      <c r="AB3" s="560"/>
      <c r="AC3" s="560"/>
      <c r="AD3" s="560"/>
      <c r="AE3" s="560"/>
      <c r="AF3" s="577"/>
    </row>
    <row r="4" spans="1:32" s="50" customFormat="1" ht="12.95" customHeight="1">
      <c r="A4" s="599"/>
      <c r="B4" s="698"/>
      <c r="C4" s="698"/>
      <c r="D4" s="1559"/>
      <c r="E4" s="1451"/>
      <c r="F4" s="1482" t="str">
        <f>IF(AND(OR(PP_DispIncr="Both",PP_DispIncr="Top"),PP_Increments=5),X4,"")</f>
        <v>Purchase</v>
      </c>
      <c r="G4" s="1482" t="str">
        <f>IF(AND(OR(PP_DispIncr="Both",PP_DispIncr="Top"),PP_Increments=5),Y4,"")</f>
        <v>Current</v>
      </c>
      <c r="H4" s="1482" t="str">
        <f>IF(AND(OR(PP_DispIncr="Both",PP_DispIncr="Top"),PP_Increments=5),Z4,"")</f>
        <v>Pro Forma</v>
      </c>
      <c r="I4" s="1482" t="str">
        <f>IF(AND(OR(PP_DispIncr="Both",PP_DispIncr="Top"),PP_Increments=5),AA4,IF(AND(OR(PP_DispIncr="Both",PP_DispIncr="Top"),PP_Increments=4),AA3,""))</f>
        <v>on-Cash</v>
      </c>
      <c r="J4" s="1482" t="str">
        <f>IF(AND(OR(PP_DispIncr="Both",PP_DispIncr="Top"),PP_Increments=5),AD4,"")</f>
        <v>Price</v>
      </c>
      <c r="K4" s="1482" t="str">
        <f>IF(AND(OR(PP_DispIncr="Both",PP_DispIncr="Top"),PP_Increments=5),AE4,"")</f>
        <v>Price</v>
      </c>
      <c r="L4" s="1482" t="str">
        <f>IF(AND(OR(PP_DispIncr="Both",PP_DispIncr="Top"),PP_Increments=5),AF4,"")</f>
        <v>Pro Forma</v>
      </c>
      <c r="M4" s="1139"/>
      <c r="N4" s="1140" t="s">
        <v>1833</v>
      </c>
      <c r="O4" s="1141" t="s">
        <v>205</v>
      </c>
      <c r="P4" s="599"/>
      <c r="Q4" s="599"/>
      <c r="R4" s="599"/>
      <c r="S4" s="599"/>
      <c r="T4" s="599"/>
      <c r="U4" s="600"/>
      <c r="V4" s="600"/>
      <c r="W4" s="451"/>
      <c r="X4" s="561" t="s">
        <v>1834</v>
      </c>
      <c r="Y4" s="561" t="str">
        <f>'Operating Statement'!O4</f>
        <v>Current</v>
      </c>
      <c r="Z4" s="561" t="str">
        <f>'Operating Statement'!Q4</f>
        <v>Pro Forma</v>
      </c>
      <c r="AA4" s="561" t="s">
        <v>1270</v>
      </c>
      <c r="AB4" s="561" t="s">
        <v>1835</v>
      </c>
      <c r="AC4" s="561" t="s">
        <v>1836</v>
      </c>
      <c r="AD4" s="561" t="s">
        <v>0</v>
      </c>
      <c r="AE4" s="561" t="s">
        <v>0</v>
      </c>
      <c r="AF4" s="578" t="str">
        <f>'Operating Statement'!Q4</f>
        <v>Pro Forma</v>
      </c>
    </row>
    <row r="5" spans="1:32" s="154" customFormat="1" ht="12.95" customHeight="1">
      <c r="A5" s="647"/>
      <c r="B5" s="699"/>
      <c r="C5" s="699"/>
      <c r="D5" s="1559"/>
      <c r="E5" s="1452"/>
      <c r="F5" s="1483" t="str">
        <f>IF(AND(OR(PP_DispIncr="Both",PP_DispIncr="Top"),PP_Increments=5),X5,IF(AND(OR(PP_DispIncr="Both",PP_DispIncr="Top"),PP_Increments=4),X4,""))</f>
        <v>Price</v>
      </c>
      <c r="G5" s="1483" t="str">
        <f>IF(AND(OR(PP_DispIncr="Both",PP_DispIncr="Top"),PP_Increments=5),Y5,IF(AND(OR(PP_DispIncr="Both",PP_DispIncr="Top"),PP_Increments=4),Y4,""))</f>
        <v>Cap Rate</v>
      </c>
      <c r="H5" s="1483" t="str">
        <f>IF(AND(OR(PP_DispIncr="Both",PP_DispIncr="Top"),PP_Increments=5),Z5,IF(AND(OR(PP_DispIncr="Both",PP_DispIncr="Top"),PP_Increments=4),Z4,""))</f>
        <v>Cap Rate</v>
      </c>
      <c r="I5" s="1483" t="str">
        <f>IFERROR(IF(AND(OR(PP_DispIncr="Both",PP_DispIncr="Top"),PP_Increments=5),AA5,IF(AND(OR(PP_DispIncr="Both",PP_DispIncr="Top"),PP_Increments=4),AA4,IF(AND(OR(PP_DispIncr="Both",PP_DispIncr="Top"),PP_Increments=3),AA3,""))),0)</f>
        <v>Return</v>
      </c>
      <c r="J5" s="1483" t="str">
        <f>IF(AND(OR(PP_DispIncr="Both",PP_DispIncr="Top"),PP_Increments=5),AD5,IF(AND(OR(PP_DispIncr="Both",PP_DispIncr="Top"),PP_Increments=4),AD4,""))</f>
        <v>Per SF</v>
      </c>
      <c r="K5" s="1483" t="str">
        <f>IF(AND(OR(PP_DispIncr="Both",PP_DispIncr="Top"),PP_Increments=5),AE5,IF(AND(OR(PP_DispIncr="Both",PP_DispIncr="Top"),PP_Increments=4),AE4,""))</f>
        <v>Per Unit</v>
      </c>
      <c r="L5" s="1483" t="str">
        <f>IF(AND(OR(PP_DispIncr="Both",PP_DispIncr="Top"),PP_Increments=5),AF5,IF(AND(OR(PP_DispIncr="Both",PP_DispIncr="Top"),PP_Increments=4),AF4,""))</f>
        <v>GRM</v>
      </c>
      <c r="M5" s="699"/>
      <c r="N5" s="699"/>
      <c r="O5" s="699"/>
      <c r="P5" s="647"/>
      <c r="Q5" s="647"/>
      <c r="R5" s="647"/>
      <c r="S5" s="647"/>
      <c r="T5" s="647"/>
      <c r="U5" s="648"/>
      <c r="V5" s="648"/>
      <c r="W5" s="569"/>
      <c r="X5" s="562" t="s">
        <v>0</v>
      </c>
      <c r="Y5" s="562" t="s">
        <v>1274</v>
      </c>
      <c r="Z5" s="562" t="s">
        <v>1274</v>
      </c>
      <c r="AA5" s="562" t="s">
        <v>1275</v>
      </c>
      <c r="AB5" s="562" t="s">
        <v>1277</v>
      </c>
      <c r="AC5" s="562" t="s">
        <v>1277</v>
      </c>
      <c r="AD5" s="562" t="s">
        <v>1278</v>
      </c>
      <c r="AE5" s="562" t="s">
        <v>1279</v>
      </c>
      <c r="AF5" s="579" t="s">
        <v>199</v>
      </c>
    </row>
    <row r="6" spans="1:32" s="45" customFormat="1" ht="12.95" customHeight="1">
      <c r="A6" s="598"/>
      <c r="B6" s="700"/>
      <c r="C6" s="700"/>
      <c r="D6" s="1559"/>
      <c r="E6" s="1453"/>
      <c r="F6" s="1484">
        <f>IF(AND(OR(PP_DispIncr="Both",PP_DispIncr="Top"),PP_Increments=5),5*Input!$B$34+Price,IF(AND(OR(PP_DispIncr="Both",PP_DispIncr="Top"),PP_Increments=4),X5,IF(AND(OR(PP_DispIncr="Both",PP_DispIncr="Top"),PP_Increments=3),X4,"")))</f>
        <v>9850000</v>
      </c>
      <c r="G6" s="1460">
        <f>IFERROR(IF(AND(OR(PP_DispIncr="Both",PP_DispIncr="Top"),PP_Increments=5),'Pricing Detail'!$N$13/'Proposal Price IRR'!F6,IF(AND(OR(PP_DispIncr="Both",PP_DispIncr="Top"),PP_Increments=4),Y5,IF(AND(OR(PP_DispIncr="Both",PP_DispIncr="Top"),PP_Increments=3),Y4,""))),0)</f>
        <v>4.5262543756345176E-2</v>
      </c>
      <c r="H6" s="1460">
        <f>IFERROR(IF(AND(OR(PP_DispIncr="Both",PP_DispIncr="Top"),PP_Increments=5),Input!R25,IF(AND(OR(PP_DispIncr="Both",PP_DispIncr="Top"),PP_Increments=4),Z5,IF(AND(OR(PP_DispIncr="Both",PP_DispIncr="Top"),PP_Increments=3),Z4,""))),0)</f>
        <v>5.7422867005076143E-2</v>
      </c>
      <c r="I6" s="1460">
        <f>IFERROR(IF(AND(OR(PP_DispIncr="Both",PP_DispIncr="Top"),PP_Increments=5),Input!S25,IF(AND(OR(PP_DispIncr="Both",PP_DispIncr="Top"),PP_Increments=4),AA5,IF(AND(OR(PP_DispIncr="Both",PP_DispIncr="Top"),PP_Increments=3),AA4,IF(AND(OR(PP_DispIncr="Both",PP_DispIncr="Top"),PP_Increments=2),AA3,"")))),0)</f>
        <v>1.371806926701551E-2</v>
      </c>
      <c r="J6" s="1485">
        <f>IFERROR(IF(AND(OR(PP_DispIncr="Both",PP_DispIncr="Top"),PP_Increments=5),Input!V25,IF(AND(OR(PP_DispIncr="Both",PP_DispIncr="Top"),PP_Increments=4),AD5,IF(AND(OR(PP_DispIncr="Both",PP_DispIncr="Top"),PP_Increments=3),AD4,""))),0)</f>
        <v>434.41827643997533</v>
      </c>
      <c r="K6" s="1484">
        <f>IFERROR(IF(AND(OR(PP_DispIncr="Both",PP_DispIncr="Top"),PP_Increments=5),Input!W25,IF(AND(OR(PP_DispIncr="Both",PP_DispIncr="Top"),PP_Increments=4),AE5,IF(AND(OR(PP_DispIncr="Both",PP_DispIncr="Top"),PP_Increments=3),AE4,""))),0)</f>
        <v>364814.81481481483</v>
      </c>
      <c r="L6" s="1486">
        <f>IFERROR(IF(AND(OR(PP_DispIncr="Both",PP_DispIncr="Top"),PP_Increments=5),Input!X25,IF(AND(OR(PP_DispIncr="Both",PP_DispIncr="Top"),PP_Increments=4),AF5,IF(AND(OR(PP_DispIncr="Both",PP_DispIncr="Top"),PP_Increments=3),AF4,""))),0)</f>
        <v>11.215102245297627</v>
      </c>
      <c r="M6" s="700"/>
      <c r="N6" s="700"/>
      <c r="O6" s="700"/>
      <c r="P6" s="598"/>
      <c r="Q6" s="598"/>
      <c r="R6" s="598"/>
      <c r="S6" s="598"/>
      <c r="T6" s="598"/>
      <c r="U6" s="605"/>
      <c r="V6" s="605"/>
      <c r="W6" s="61"/>
      <c r="X6" s="580"/>
      <c r="Y6" s="580"/>
      <c r="Z6" s="580"/>
      <c r="AA6" s="580"/>
      <c r="AB6" s="580"/>
      <c r="AC6" s="580"/>
      <c r="AD6" s="580"/>
      <c r="AE6" s="580"/>
      <c r="AF6" s="580"/>
    </row>
    <row r="7" spans="1:32" s="45" customFormat="1" ht="12.95" customHeight="1">
      <c r="A7" s="598"/>
      <c r="B7" s="700"/>
      <c r="C7" s="700"/>
      <c r="D7" s="1560"/>
      <c r="E7" s="1453"/>
      <c r="F7" s="1484">
        <f>IF(AND(OR(PP_DispIncr="Both",PP_DispIncr="Top"),PP_Increments=5),4*Input!$B$34+Price,IF(AND(OR(PP_DispIncr="Both",PP_DispIncr="Top"),PP_Increments=4),4*Input!$B$34+Price,IF(AND(OR(PP_DispIncr="Both",PP_DispIncr="Top"),PP_Increments=3),X5,IF(AND(OR(PP_DispIncr="Both",PP_DispIncr="Top"),PP_Increments=2),X4,""))))</f>
        <v>9750000</v>
      </c>
      <c r="G7" s="1460">
        <f>IFERROR(IF(AND(OR(PP_DispIncr="Both",PP_DispIncr="Top"),PP_Increments=5),'Pricing Detail'!$N$13/'Proposal Price IRR'!F7,IF(AND(OR(PP_DispIncr="Both",PP_DispIncr="Top"),PP_Increments=4),'Pricing Detail'!$N$13/'Proposal Price IRR'!F7,IF(AND(OR(PP_DispIncr="Both",PP_DispIncr="Top"),PP_Increments=3),Y5,IF(AND(OR(PP_DispIncr="Both",PP_DispIncr="Top"),PP_Increments=2),Y4,"")))),0)</f>
        <v>4.5726774974358973E-2</v>
      </c>
      <c r="H7" s="1460">
        <f>IFERROR(IF(AND(OR(PP_DispIncr="Both",PP_DispIncr="Top"),PP_Increments=5),Input!R26,IF(AND(OR(PP_DispIncr="Both",PP_DispIncr="Top"),PP_Increments=4),Input!R26,IF(AND(OR(PP_DispIncr="Both",PP_DispIncr="Top"),PP_Increments=3),Z5,IF(AND(OR(PP_DispIncr="Both",PP_DispIncr="Top"),PP_Increments=2),Z4,"")))),0)</f>
        <v>5.8127716923076923E-2</v>
      </c>
      <c r="I7" s="1460">
        <f>IFERROR(IF(AND(OR(PP_DispIncr="Both",PP_DispIncr="Top"),PP_Increments=5),Input!S26,IF(AND(OR(PP_DispIncr="Both",PP_DispIncr="Top"),PP_Increments=4),Input!S26,IF(AND(OR(PP_DispIncr="Both",PP_DispIncr="Top"),PP_Increments=3),AA5,IF(AND(OR(PP_DispIncr="Both",PP_DispIncr="Top"),PP_Increments=2),AA4,IF(AND(OR(PP_DispIncr="Both",PP_DispIncr="Top"),PP_Increments=1),AA3,""))))),0)</f>
        <v>1.4994170456654935E-2</v>
      </c>
      <c r="J7" s="1485">
        <f>IFERROR(IF(AND(OR(PP_DispIncr="Both",PP_DispIncr="Top"),PP_Increments=5),Input!V26,IF(AND(OR(PP_DispIncr="Both",PP_DispIncr="Top"),PP_Increments=4),Input!V26,IF(AND(OR(PP_DispIncr="Both",PP_DispIncr="Top"),PP_Increments=3),AD5,IF(AND(OR(PP_DispIncr="Both",PP_DispIncr="Top"),PP_Increments=2),AD4,"")))),0)</f>
        <v>430.00793860809739</v>
      </c>
      <c r="K7" s="1484">
        <f>IFERROR(IF(AND(OR(PP_DispIncr="Both",PP_DispIncr="Top"),PP_Increments=5),Input!W26,IF(AND(OR(PP_DispIncr="Both",PP_DispIncr="Top"),PP_Increments=4),Input!W26,IF(AND(OR(PP_DispIncr="Both",PP_DispIncr="Top"),PP_Increments=3),AE5,IF(AND(OR(PP_DispIncr="Both",PP_DispIncr="Top"),PP_Increments=2),AE4,"")))),0)</f>
        <v>361111.11111111112</v>
      </c>
      <c r="L7" s="1486">
        <f>IFERROR(IF(AND(OR(PP_DispIncr="Both",PP_DispIncr="Top"),PP_Increments=5),Input!X26,IF(AND(OR(PP_DispIncr="Both",PP_DispIncr="Top"),PP_Increments=4),Input!X26,IF(AND(OR(PP_DispIncr="Both",PP_DispIncr="Top"),PP_Increments=3),AF5,IF(AND(OR(PP_DispIncr="Both",PP_DispIncr="Top"),PP_Increments=2),AF4,"")))),0)</f>
        <v>11.101243339253996</v>
      </c>
      <c r="M7" s="700"/>
      <c r="N7" s="700"/>
      <c r="O7" s="700"/>
      <c r="P7" s="598"/>
      <c r="Q7" s="598"/>
      <c r="R7" s="598"/>
      <c r="S7" s="598"/>
      <c r="T7" s="598"/>
      <c r="U7" s="605"/>
      <c r="V7" s="605"/>
      <c r="W7" s="61"/>
      <c r="X7" s="61"/>
      <c r="Y7" s="61"/>
      <c r="Z7" s="61"/>
      <c r="AA7" s="61"/>
      <c r="AB7" s="61"/>
      <c r="AC7" s="61"/>
      <c r="AD7" s="61"/>
      <c r="AE7" s="61"/>
      <c r="AF7" s="61"/>
    </row>
    <row r="8" spans="1:32" s="45" customFormat="1" ht="12.95" customHeight="1">
      <c r="A8" s="598"/>
      <c r="B8" s="700"/>
      <c r="C8" s="700"/>
      <c r="D8" s="1562">
        <f ca="1">IF(PP_DispIncr="Top",OFFSET(F11,-PP_Increments,0),IF(PP_DispIncr="Bottom",F11,IF(PP_DispIncr="Both",OFFSET(F11,-PP_Increments,0),"")))</f>
        <v>9850000</v>
      </c>
      <c r="E8" s="1453"/>
      <c r="F8" s="1487">
        <f>IF(AND(OR(PP_DispIncr="Both",PP_DispIncr="Top"),PP_Increments=5),3*Input!$B$34+Price,IF(AND(OR(PP_DispIncr="Both",PP_DispIncr="Top"),PP_Increments=4),3*Input!$B$34+Price,IF(AND(OR(PP_DispIncr="Both",PP_DispIncr="Top"),PP_Increments=3),3*Input!$B$34+Price,IF(AND(OR(PP_DispIncr="Both",PP_DispIncr="Top"),PP_Increments=2),X5,IF(AND(OR(PP_DispIncr="Both",PP_DispIncr="Top"),PP_Increments=1),X4,"")))))</f>
        <v>9650000</v>
      </c>
      <c r="G8" s="1488">
        <f>IFERROR(IF(AND(OR(PP_DispIncr="Both",PP_DispIncr="Top"),PP_Increments=5),'Pricing Detail'!$N$13/'Proposal Price IRR'!F8,IF(AND(OR(PP_DispIncr="Both",PP_DispIncr="Top"),PP_Increments=4),'Pricing Detail'!$N$13/'Proposal Price IRR'!F8,IF(AND(OR(PP_DispIncr="Both",PP_DispIncr="Top"),PP_Increments=3),'Pricing Detail'!$N$13/'Proposal Price IRR'!F8,IF(AND(OR(PP_DispIncr="Both",PP_DispIncr="Top"),PP_Increments=2),Y5,IF(AND(OR(PP_DispIncr="Both",PP_DispIncr="Top"),PP_Increments=1),Y4,""))))),0)</f>
        <v>4.6200627564766839E-2</v>
      </c>
      <c r="H8" s="1488">
        <f>IFERROR(IF(AND(OR(PP_DispIncr="Both",PP_DispIncr="Top"),PP_Increments=5),Input!R27,IF(AND(OR(PP_DispIncr="Both",PP_DispIncr="Top"),PP_Increments=4),Input!R27,IF(AND(OR(PP_DispIncr="Both",PP_DispIncr="Top"),PP_Increments=3),Input!R27,IF(AND(OR(PP_DispIncr="Both",PP_DispIncr="Top"),PP_Increments=2),Z5,IF(AND(OR(PP_DispIncr="Both",PP_DispIncr="Top"),PP_Increments=1),Z4,""))))),0)</f>
        <v>5.8847175129533677E-2</v>
      </c>
      <c r="I8" s="1488">
        <f>IFERROR(IF(AND(OR(PP_DispIncr="Both",PP_DispIncr="Top"),PP_Increments=5),Input!S27,IF(AND(OR(PP_DispIncr="Both",PP_DispIncr="Top"),PP_Increments=4),Input!S27,IF(AND(OR(PP_DispIncr="Both",PP_DispIncr="Top"),PP_Increments=3),Input!S27,IF(AND(OR(PP_DispIncr="Both",PP_DispIncr="Top"),PP_Increments=2),AA5,IF(AND(OR(PP_DispIncr="Both",PP_DispIncr="Top"),PP_Increments=1),AA4,IF(AND(OR(PP_DispIncr="Both",PP_DispIncr="Top"),PP_Increments=0),AA3,IF(PP_DispIncr="Bottom",AA3,""))))))),0)</f>
        <v>1.6296719339343953E-2</v>
      </c>
      <c r="J8" s="1489">
        <f>IFERROR(IF(AND(OR(PP_DispIncr="Both",PP_DispIncr="Top"),PP_Increments=5),Input!V27,IF(AND(OR(PP_DispIncr="Both",PP_DispIncr="Top"),PP_Increments=4),Input!V27,IF(AND(OR(PP_DispIncr="Both",PP_DispIncr="Top"),PP_Increments=3),Input!V27,IF(AND(OR(PP_DispIncr="Both",PP_DispIncr="Top"),PP_Increments=2),AD5,IF(AND(OR(PP_DispIncr="Both",PP_DispIncr="Top"),PP_Increments=1),AD4,""))))),0)</f>
        <v>425.59760077621945</v>
      </c>
      <c r="K8" s="1487">
        <f>IFERROR(IF(AND(OR(PP_DispIncr="Both",PP_DispIncr="Top"),PP_Increments=5),Input!W27,IF(AND(OR(PP_DispIncr="Both",PP_DispIncr="Top"),PP_Increments=4),Input!W27,IF(AND(OR(PP_DispIncr="Both",PP_DispIncr="Top"),PP_Increments=3),Input!W27,IF(AND(OR(PP_DispIncr="Both",PP_DispIncr="Top"),PP_Increments=2),AE5,IF(AND(OR(PP_DispIncr="Both",PP_DispIncr="Top"),PP_Increments=1),AE4,""))))),0)</f>
        <v>357407.40740740742</v>
      </c>
      <c r="L8" s="1490">
        <f>IFERROR(IF(AND(OR(PP_DispIncr="Both",PP_DispIncr="Top"),PP_Increments=5),Input!X27,IF(AND(OR(PP_DispIncr="Both",PP_DispIncr="Top"),PP_Increments=4),Input!X27,IF(AND(OR(PP_DispIncr="Both",PP_DispIncr="Top"),PP_Increments=3),Input!X27,IF(AND(OR(PP_DispIncr="Both",PP_DispIncr="Top"),PP_Increments=2),AF5,IF(AND(OR(PP_DispIncr="Both",PP_DispIncr="Top"),PP_Increments=1),AF4,""))))),0)</f>
        <v>10.987384433210366</v>
      </c>
      <c r="M8" s="700"/>
      <c r="N8" s="700"/>
      <c r="O8" s="700"/>
      <c r="P8" s="598"/>
      <c r="Q8" s="598"/>
      <c r="R8" s="598"/>
      <c r="S8" s="598"/>
      <c r="T8" s="598"/>
      <c r="U8" s="605"/>
      <c r="V8" s="605"/>
      <c r="W8" s="61"/>
      <c r="X8" s="61"/>
      <c r="Y8" s="61"/>
      <c r="Z8" s="61"/>
      <c r="AA8" s="61"/>
      <c r="AB8" s="61"/>
      <c r="AC8" s="61"/>
      <c r="AD8" s="61"/>
      <c r="AE8" s="61"/>
      <c r="AF8" s="61"/>
    </row>
    <row r="9" spans="1:32" s="45" customFormat="1" ht="12.95" customHeight="1">
      <c r="A9" s="598"/>
      <c r="B9" s="700"/>
      <c r="C9" s="700"/>
      <c r="D9" s="1562"/>
      <c r="E9" s="1453"/>
      <c r="F9" s="1487">
        <f>IF(AND(OR(PP_DispIncr="Both",PP_DispIncr="Top"),PP_Increments=5),2*Input!$B$34+Price,IF(AND(OR(PP_DispIncr="Both",PP_DispIncr="Top"),PP_Increments=4),2*Input!$B$34+Price,IF(AND(OR(PP_DispIncr="Both",PP_DispIncr="Top"),PP_Increments=3),2*Input!$B$34+Price,IF(AND(OR(PP_DispIncr="Both",PP_DispIncr="Top"),PP_Increments=2),2*Input!$B$34+Price,IF(AND(OR(PP_DispIncr="Both",PP_DispIncr="Top"),PP_Increments=1),X5,IF(AND(OR(PP_DispIncr="Both",PP_DispIncr="Top"),PP_Increments=0),X4,IF(PP_DispIncr="Bottom",X4,"")))))))</f>
        <v>9550000</v>
      </c>
      <c r="G9" s="1488">
        <f>IFERROR(IF(AND(OR(PP_DispIncr="Both",PP_DispIncr="Top"),PP_Increments=5),'Pricing Detail'!$N$13/'Proposal Price IRR'!F9,IF(AND(OR(PP_DispIncr="Both",PP_DispIncr="Top"),PP_Increments=4),'Pricing Detail'!$N$13/'Proposal Price IRR'!F9,IF(AND(OR(PP_DispIncr="Both",PP_DispIncr="Top"),PP_Increments=3),'Pricing Detail'!$N$13/'Proposal Price IRR'!F9,IF(AND(OR(PP_DispIncr="Both",PP_DispIncr="Top"),PP_Increments=2),'Pricing Detail'!$N$13/'Proposal Price IRR'!F9,IF(AND(OR(PP_DispIncr="Both",PP_DispIncr="Top"),PP_Increments=1),Y5,IF(AND(OR(PP_DispIncr="Both",PP_DispIncr="Top"),PP_Increments=0),Y4,IF(PP_DispIncr="Bottom",Y4,""))))))),0)</f>
        <v>4.6684403769633509E-2</v>
      </c>
      <c r="H9" s="1488">
        <f>IFERROR(IF(AND(OR(PP_DispIncr="Both",PP_DispIncr="Top"),PP_Increments=5),Input!R28,IF(AND(OR(PP_DispIncr="Both",PP_DispIncr="Top"),PP_Increments=4),Input!R28,IF(AND(OR(PP_DispIncr="Both",PP_DispIncr="Top"),PP_Increments=3),Input!R28,IF(AND(OR(PP_DispIncr="Both",PP_DispIncr="Top"),PP_Increments=2),Input!R28,IF(AND(OR(PP_DispIncr="Both",PP_DispIncr="Top"),PP_Increments=1),Z5,IF(AND(OR(PP_DispIncr="Both",PP_DispIncr="Top"),PP_Increments=0),Z4,IF(PP_DispIncr="Bottom",Z4,""))))))),0)</f>
        <v>5.958170052356021E-2</v>
      </c>
      <c r="I9" s="1488">
        <f>IFERROR(IF(AND(OR(PP_DispIncr="Both",PP_DispIncr="Top"),PP_Increments=5),Input!S28,IF(AND(OR(PP_DispIncr="Both",PP_DispIncr="Top"),PP_Increments=4),Input!S28,IF(AND(OR(PP_DispIncr="Both",PP_DispIncr="Top"),PP_Increments=3),Input!S28,IF(AND(OR(PP_DispIncr="Both",PP_DispIncr="Top"),PP_Increments=2),Input!S28,IF(AND(OR(PP_DispIncr="Both",PP_DispIncr="Top"),PP_Increments=1),AA5,IF(AND(OR(PP_DispIncr="Both",PP_DispIncr="Top"),PP_Increments=0),AA4,IF(PP_DispIncr="Bottom",AA4,""))))))),0)</f>
        <v>1.7626546732665171E-2</v>
      </c>
      <c r="J9" s="1489">
        <f>IFERROR(IF(AND(OR(PP_DispIncr="Both",PP_DispIncr="Top"),PP_Increments=5),Input!V28,IF(AND(OR(PP_DispIncr="Both",PP_DispIncr="Top"),PP_Increments=4),Input!V28,IF(AND(OR(PP_DispIncr="Both",PP_DispIncr="Top"),PP_Increments=3),Input!V28,IF(AND(OR(PP_DispIncr="Both",PP_DispIncr="Top"),PP_Increments=2),Input!V28,IF(AND(OR(PP_DispIncr="Both",PP_DispIncr="Top"),PP_Increments=1),AD5,IF(AND(OR(PP_DispIncr="Both",PP_DispIncr="Top"),PP_Increments=0),AD4,IF(PP_DispIncr="Bottom",AD4,""))))))),0)</f>
        <v>421.18726294434151</v>
      </c>
      <c r="K9" s="1487">
        <f>IFERROR(IF(AND(OR(PP_DispIncr="Both",PP_DispIncr="Top"),PP_Increments=5),Input!W28,IF(AND(OR(PP_DispIncr="Both",PP_DispIncr="Top"),PP_Increments=4),Input!W28,IF(AND(OR(PP_DispIncr="Both",PP_DispIncr="Top"),PP_Increments=3),Input!W28,IF(AND(OR(PP_DispIncr="Both",PP_DispIncr="Top"),PP_Increments=2),Input!W28,IF(AND(OR(PP_DispIncr="Both",PP_DispIncr="Top"),PP_Increments=1),AE5,IF(AND(OR(PP_DispIncr="Both",PP_DispIncr="Top"),PP_Increments=0),AE4,IF(PP_DispIncr="Bottom",AE4,""))))))),0)</f>
        <v>353703.70370370371</v>
      </c>
      <c r="L9" s="1490">
        <f>IFERROR(IF(AND(OR(PP_DispIncr="Both",PP_DispIncr="Top"),PP_Increments=5),Input!X28,IF(AND(OR(PP_DispIncr="Both",PP_DispIncr="Top"),PP_Increments=4),Input!X28,IF(AND(OR(PP_DispIncr="Both",PP_DispIncr="Top"),PP_Increments=3),Input!X28,IF(AND(OR(PP_DispIncr="Both",PP_DispIncr="Top"),PP_Increments=2),Input!X28,IF(AND(OR(PP_DispIncr="Both",PP_DispIncr="Top"),PP_Increments=1),AF5,IF(AND(OR(PP_DispIncr="Both",PP_DispIncr="Top"),PP_Increments=0),AF4,IF(PP_DispIncr="Bottom",AF4,""))))))),0)</f>
        <v>10.873525527166734</v>
      </c>
      <c r="M9" s="700"/>
      <c r="N9" s="700"/>
      <c r="O9" s="700"/>
      <c r="P9" s="598"/>
      <c r="Q9" s="598"/>
      <c r="R9" s="598"/>
      <c r="S9" s="598"/>
      <c r="T9" s="598"/>
      <c r="U9" s="605"/>
      <c r="V9" s="605"/>
      <c r="W9" s="61"/>
      <c r="X9" s="61"/>
      <c r="Y9" s="61"/>
      <c r="Z9" s="61"/>
      <c r="AA9" s="61"/>
      <c r="AB9" s="61"/>
      <c r="AC9" s="61"/>
      <c r="AD9" s="61"/>
      <c r="AE9" s="61"/>
      <c r="AF9" s="61"/>
    </row>
    <row r="10" spans="1:32" s="45" customFormat="1" ht="12.95" customHeight="1">
      <c r="A10" s="598"/>
      <c r="B10" s="700"/>
      <c r="C10" s="700"/>
      <c r="D10" s="1562"/>
      <c r="E10" s="1453"/>
      <c r="F10" s="1487">
        <f>IF(AND(OR(PP_DispIncr="Both",PP_DispIncr="Top"),PP_Increments=5),Input!$B$34+Price,IF(AND(OR(PP_DispIncr="Both",PP_DispIncr="Top"),PP_Increments=4),Input!$B$34+Price,IF(AND(OR(PP_DispIncr="Both",PP_DispIncr="Top"),PP_Increments=3),Input!$B$34+Price,IF(AND(OR(PP_DispIncr="Both",PP_DispIncr="Top"),PP_Increments=2),Input!$B$34+Price,IF(AND(OR(PP_DispIncr="Both",PP_DispIncr="Top"),PP_Increments=1),Input!$B$34+Price,IF(AND(OR(PP_DispIncr="Both",PP_DispIncr="Top"),PP_Increments=0),X5,IF(PP_DispIncr="Bottom",X5,"")))))))</f>
        <v>9450000</v>
      </c>
      <c r="G10" s="1488">
        <f>IFERROR(IF(AND(OR(PP_DispIncr="Both",PP_DispIncr="Top"),PP_Increments=5),'Pricing Detail'!$N$13/'Proposal Price IRR'!F10,IF(AND(OR(PP_DispIncr="Both",PP_DispIncr="Top"),PP_Increments=4),'Pricing Detail'!$N$13/'Proposal Price IRR'!F10,IF(AND(OR(PP_DispIncr="Both",PP_DispIncr="Top"),PP_Increments=3),'Pricing Detail'!$N$13/'Proposal Price IRR'!F10,IF(AND(OR(PP_DispIncr="Both",PP_DispIncr="Top"),PP_Increments=2),'Pricing Detail'!$N$13/'Proposal Price IRR'!F10,IF(AND(OR(PP_DispIncr="Both",PP_DispIncr="Top"),PP_Increments=1),'Pricing Detail'!$N$13/'Proposal Price IRR'!F10,IF(AND(OR(PP_DispIncr="Both",PP_DispIncr="Top"),PP_Increments=0),Y5,IF(PP_DispIncr="Bottom",Y5,""))))))),0)</f>
        <v>4.7178418624338622E-2</v>
      </c>
      <c r="H10" s="1488">
        <f>IFERROR(IF(AND(OR(PP_DispIncr="Both",PP_DispIncr="Top"),PP_Increments=5),Input!R29,IF(AND(OR(PP_DispIncr="Both",PP_DispIncr="Top"),PP_Increments=4),Input!R29,IF(AND(OR(PP_DispIncr="Both",PP_DispIncr="Top"),PP_Increments=3),Input!R29,IF(AND(OR(PP_DispIncr="Both",PP_DispIncr="Top"),PP_Increments=2),Input!R29,IF(AND(OR(PP_DispIncr="Both",PP_DispIncr="Top"),PP_Increments=1),Input!R29,IF(AND(OR(PP_DispIncr="Both",PP_DispIncr="Top"),PP_Increments=0),Z5,IF(PP_DispIncr="Bottom",Z5,""))))))),0)</f>
        <v>6.0331771428571428E-2</v>
      </c>
      <c r="I10" s="1488">
        <f>IFERROR(IF(AND(OR(PP_DispIncr="Both",PP_DispIncr="Top"),PP_Increments=5),Input!S29,IF(AND(OR(PP_DispIncr="Both",PP_DispIncr="Top"),PP_Increments=4),Input!S29,IF(AND(OR(PP_DispIncr="Both",PP_DispIncr="Top"),PP_Increments=3),Input!S29,IF(AND(OR(PP_DispIncr="Both",PP_DispIncr="Top"),PP_Increments=2),Input!S29,IF(AND(OR(PP_DispIncr="Both",PP_DispIncr="Top"),PP_Increments=1),Input!S29,IF(AND(OR(PP_DispIncr="Both",PP_DispIncr="Top"),PP_Increments=0),AA5,IF(PP_DispIncr="Bottom",AA5,""))))))),0)</f>
        <v>1.8984518621083121E-2</v>
      </c>
      <c r="J10" s="1489">
        <f>IFERROR(IF(AND(OR(PP_DispIncr="Both",PP_DispIncr="Top"),PP_Increments=5),Input!V29,IF(AND(OR(PP_DispIncr="Both",PP_DispIncr="Top"),PP_Increments=4),Input!V29,IF(AND(OR(PP_DispIncr="Both",PP_DispIncr="Top"),PP_Increments=3),Input!V29,IF(AND(OR(PP_DispIncr="Both",PP_DispIncr="Top"),PP_Increments=2),Input!V29,IF(AND(OR(PP_DispIncr="Both",PP_DispIncr="Top"),PP_Increments=1),Input!V29,IF(AND(OR(PP_DispIncr="Both",PP_DispIncr="Top"),PP_Increments=0),AD5,IF(PP_DispIncr="Bottom",AD5,""))))))),0)</f>
        <v>416.77692511246363</v>
      </c>
      <c r="K10" s="1487">
        <f>IFERROR(IF(AND(OR(PP_DispIncr="Both",PP_DispIncr="Top"),PP_Increments=5),Input!W29,IF(AND(OR(PP_DispIncr="Both",PP_DispIncr="Top"),PP_Increments=4),Input!W29,IF(AND(OR(PP_DispIncr="Both",PP_DispIncr="Top"),PP_Increments=3),Input!W29,IF(AND(OR(PP_DispIncr="Both",PP_DispIncr="Top"),PP_Increments=2),Input!W29,IF(AND(OR(PP_DispIncr="Both",PP_DispIncr="Top"),PP_Increments=1),Input!W29,IF(AND(OR(PP_DispIncr="Both",PP_DispIncr="Top"),PP_Increments=0),AE5,IF(PP_DispIncr="Bottom",AE5,""))))))),0)</f>
        <v>350000</v>
      </c>
      <c r="L10" s="1490">
        <f>IFERROR(IF(AND(OR(PP_DispIncr="Both",PP_DispIncr="Top"),PP_Increments=5),Input!X29,IF(AND(OR(PP_DispIncr="Both",PP_DispIncr="Top"),PP_Increments=4),Input!X29,IF(AND(OR(PP_DispIncr="Both",PP_DispIncr="Top"),PP_Increments=3),Input!X29,IF(AND(OR(PP_DispIncr="Both",PP_DispIncr="Top"),PP_Increments=2),Input!X29,IF(AND(OR(PP_DispIncr="Both",PP_DispIncr="Top"),PP_Increments=1),Input!X29,IF(AND(OR(PP_DispIncr="Both",PP_DispIncr="Top"),PP_Increments=0),AF5,IF(PP_DispIncr="Bottom",AF5,""))))))),0)</f>
        <v>10.759666621123104</v>
      </c>
      <c r="M10" s="700"/>
      <c r="N10" s="700"/>
      <c r="O10" s="700"/>
      <c r="P10" s="598"/>
      <c r="Q10" s="598"/>
      <c r="R10" s="598"/>
      <c r="S10" s="598"/>
      <c r="T10" s="598"/>
      <c r="U10" s="605"/>
      <c r="V10" s="605"/>
      <c r="W10" s="61"/>
      <c r="X10" s="61"/>
      <c r="Y10" s="61"/>
      <c r="Z10" s="61"/>
      <c r="AA10" s="61"/>
      <c r="AB10" s="61"/>
      <c r="AC10" s="61"/>
      <c r="AD10" s="61"/>
      <c r="AE10" s="61"/>
      <c r="AF10" s="61"/>
    </row>
    <row r="11" spans="1:32" s="45" customFormat="1" ht="12.95" customHeight="1">
      <c r="A11" s="598"/>
      <c r="B11" s="700"/>
      <c r="C11" s="700"/>
      <c r="D11" s="1378" t="s">
        <v>1837</v>
      </c>
      <c r="E11" s="1453"/>
      <c r="F11" s="1199">
        <f>Input!C9</f>
        <v>9350000</v>
      </c>
      <c r="G11" s="1491">
        <f>IFERROR('Pricing Detail'!$N$13/'Proposal Price IRR'!F11,0)</f>
        <v>4.7683000641711229E-2</v>
      </c>
      <c r="H11" s="1492">
        <f>Input!R30</f>
        <v>6.1097886631016042E-2</v>
      </c>
      <c r="I11" s="1491">
        <f>Input!S30</f>
        <v>2.0371538036526068E-2</v>
      </c>
      <c r="J11" s="1493">
        <f>IFERROR(Input!V30,0)</f>
        <v>412.36658728058569</v>
      </c>
      <c r="K11" s="1494">
        <f>IFERROR(Input!W30,0)</f>
        <v>346296.29629629629</v>
      </c>
      <c r="L11" s="1495">
        <f>IFERROR(Input!X30,0)</f>
        <v>10.645807715079474</v>
      </c>
      <c r="M11" s="700"/>
      <c r="N11" s="700"/>
      <c r="O11" s="700"/>
      <c r="P11" s="598"/>
      <c r="Q11" s="598"/>
      <c r="R11" s="598"/>
      <c r="S11" s="598"/>
      <c r="T11" s="598"/>
      <c r="U11" s="605"/>
      <c r="V11" s="605"/>
      <c r="W11" s="61"/>
      <c r="X11" s="61"/>
      <c r="Y11" s="61"/>
      <c r="Z11" s="61"/>
      <c r="AA11" s="61"/>
      <c r="AB11" s="61"/>
      <c r="AC11" s="61"/>
      <c r="AD11" s="61"/>
      <c r="AE11" s="61"/>
      <c r="AF11" s="61"/>
    </row>
    <row r="12" spans="1:32" s="45" customFormat="1" ht="12.95" customHeight="1">
      <c r="A12" s="598"/>
      <c r="B12" s="700"/>
      <c r="C12" s="700"/>
      <c r="D12" s="1562">
        <f ca="1">IF(PP_DispIncr="Top",F11,IF(PP_DispIncr="Bottom",OFFSET(F11,PP_Increments,0),IF(PP_DispIncr="Both",OFFSET(F11,PP_Increments,0),"")))</f>
        <v>8850000</v>
      </c>
      <c r="E12" s="1453"/>
      <c r="F12" s="1484">
        <f>IF(AND(OR(PP_DispIncr="Both",PP_DispIncr="Bottom"),PP_Increments=5),-1*Input!$B$34+Price,IF(AND(OR(PP_DispIncr="Both",PP_DispIncr="Bottom"),PP_Increments=4),-1*Input!$B$34+Price,IF(AND(OR(PP_DispIncr="Both",PP_DispIncr="Bottom"),PP_Increments=3),-1*Input!$B$34+Price,IF(AND(OR(PP_DispIncr="Both",PP_DispIncr="Bottom"),PP_Increments=2),-1*Input!$B$34+Price,IF(AND(OR(PP_DispIncr="Both",PP_DispIncr="Bottom"),PP_Increments=1),-1*Input!$B$34+Price,"")))))</f>
        <v>9250000</v>
      </c>
      <c r="G12" s="1460">
        <f>IFERROR(IF(AND(OR(PP_DispIncr="Both",PP_DispIncr="Bottom"),PP_Increments=5),'Pricing Detail'!$N$13/'Proposal Price IRR'!F12,IF(AND(OR(PP_DispIncr="Both",PP_DispIncr="Bottom"),PP_Increments=4),'Pricing Detail'!$N$13/'Proposal Price IRR'!F12,IF(AND(OR(PP_DispIncr="Both",PP_DispIncr="Bottom"),PP_Increments=3),'Pricing Detail'!$N$13/'Proposal Price IRR'!F12,IF(AND(OR(PP_DispIncr="Both",PP_DispIncr="Bottom"),PP_Increments=2),'Pricing Detail'!$N$13/'Proposal Price IRR'!F12,IF(AND(OR(PP_DispIncr="Both",PP_DispIncr="Bottom"),PP_Increments=1),'Pricing Detail'!$N$13/'Proposal Price IRR'!F12,""))))),0)</f>
        <v>4.8198492540540538E-2</v>
      </c>
      <c r="H12" s="1460">
        <f>IFERROR(IF(AND(OR(PP_DispIncr="Both",PP_DispIncr="Bottom"),PP_Increments=5),Input!R31,IF(AND(OR(PP_DispIncr="Both",PP_DispIncr="Bottom"),PP_Increments=4),Input!R31,IF(AND(OR(PP_DispIncr="Both",PP_DispIncr="Bottom"),PP_Increments=3),Input!R31,IF(AND(OR(PP_DispIncr="Both",PP_DispIncr="Bottom"),PP_Increments=2),Input!R31,IF(AND(OR(PP_DispIncr="Both",PP_DispIncr="Bottom"),PP_Increments=1),Input!R31,""))))),0)</f>
        <v>6.1880566486486488E-2</v>
      </c>
      <c r="I12" s="1460">
        <f>IFERROR(IF(AND(OR(PP_DispIncr="Both",PP_DispIncr="Bottom"),PP_Increments=5),Input!S31,IF(AND(OR(PP_DispIncr="Both",PP_DispIncr="Bottom"),PP_Increments=4),Input!S31,IF(AND(OR(PP_DispIncr="Both",PP_DispIncr="Bottom"),PP_Increments=3),Input!S31,IF(AND(OR(PP_DispIncr="Both",PP_DispIncr="Bottom"),PP_Increments=2),Input!S31,IF(AND(OR(PP_DispIncr="Both",PP_DispIncr="Bottom"),PP_Increments=1),Input!S31,""))))),0)</f>
        <v>2.1788547060951582E-2</v>
      </c>
      <c r="J12" s="1485">
        <f>IFERROR(IF(AND(OR(PP_DispIncr="Both",PP_DispIncr="Bottom"),PP_Increments=5),Input!V31,IF(AND(OR(PP_DispIncr="Both",PP_DispIncr="Bottom"),PP_Increments=4),Input!V31,IF(AND(OR(PP_DispIncr="Both",PP_DispIncr="Bottom"),PP_Increments=3),Input!V31,IF(AND(OR(PP_DispIncr="Both",PP_DispIncr="Bottom"),PP_Increments=2),Input!V31,IF(AND(OR(PP_DispIncr="Both",PP_DispIncr="Bottom"),PP_Increments=1),Input!V31,""))))),0)</f>
        <v>407.95624944870775</v>
      </c>
      <c r="K12" s="1484">
        <f>IFERROR(IF(AND(OR(PP_DispIncr="Both",PP_DispIncr="Bottom"),PP_Increments=5),Input!W31,IF(AND(OR(PP_DispIncr="Both",PP_DispIncr="Bottom"),PP_Increments=4),Input!W31,IF(AND(OR(PP_DispIncr="Both",PP_DispIncr="Bottom"),PP_Increments=3),Input!W31,IF(AND(OR(PP_DispIncr="Both",PP_DispIncr="Bottom"),PP_Increments=2),Input!W31,IF(AND(OR(PP_DispIncr="Both",PP_DispIncr="Bottom"),PP_Increments=1),Input!W31,""))))),0)</f>
        <v>342592.59259259258</v>
      </c>
      <c r="L12" s="1486">
        <f>IFERROR(IF(AND(OR(PP_DispIncr="Both",PP_DispIncr="Bottom"),PP_Increments=5),Input!X31,IF(AND(OR(PP_DispIncr="Both",PP_DispIncr="Bottom"),PP_Increments=4),Input!X31,IF(AND(OR(PP_DispIncr="Both",PP_DispIncr="Bottom"),PP_Increments=3),Input!X31,IF(AND(OR(PP_DispIncr="Both",PP_DispIncr="Bottom"),PP_Increments=2),Input!X31,IF(AND(OR(PP_DispIncr="Both",PP_DispIncr="Bottom"),PP_Increments=1),Input!X31,""))))),0)</f>
        <v>10.531948809035843</v>
      </c>
      <c r="M12" s="700"/>
      <c r="N12" s="700"/>
      <c r="O12" s="700"/>
      <c r="P12" s="598"/>
      <c r="Q12" s="598"/>
      <c r="R12" s="598"/>
      <c r="S12" s="598"/>
      <c r="T12" s="598"/>
      <c r="U12" s="605"/>
      <c r="V12" s="605"/>
      <c r="W12" s="61"/>
      <c r="X12" s="61"/>
      <c r="Y12" s="61"/>
      <c r="Z12" s="61"/>
      <c r="AA12" s="61"/>
      <c r="AB12" s="61"/>
      <c r="AC12" s="61"/>
      <c r="AD12" s="61"/>
      <c r="AE12" s="61"/>
      <c r="AF12" s="61"/>
    </row>
    <row r="13" spans="1:32" s="45" customFormat="1" ht="12.95" customHeight="1">
      <c r="A13" s="598"/>
      <c r="B13" s="700"/>
      <c r="C13" s="700"/>
      <c r="D13" s="1562"/>
      <c r="E13" s="1453"/>
      <c r="F13" s="1484">
        <f>IF(AND(OR(PP_DispIncr="Both",PP_DispIncr="Bottom"),PP_Increments=5),-2*Input!$B$34+Price,IF(AND(OR(PP_DispIncr="Both",PP_DispIncr="Bottom"),PP_Increments=4),-2*Input!$B$34+Price,IF(AND(OR(PP_DispIncr="Both",PP_DispIncr="Bottom"),PP_Increments=3),-2*Input!$B$34+Price,IF(AND(OR(PP_DispIncr="Both",PP_DispIncr="Bottom"),PP_Increments=2),-2*Input!$B$34+Price,""))))</f>
        <v>9150000</v>
      </c>
      <c r="G13" s="1460">
        <f>IFERROR(IF(AND(OR(PP_DispIncr="Both",PP_DispIncr="Bottom"),PP_Increments=5),'Pricing Detail'!$N$13/'Proposal Price IRR'!F13,IF(AND(OR(PP_DispIncr="Both",PP_DispIncr="Bottom"),PP_Increments=4),'Pricing Detail'!$N$13/'Proposal Price IRR'!F13,IF(AND(OR(PP_DispIncr="Both",PP_DispIncr="Bottom"),PP_Increments=3),'Pricing Detail'!$N$13/'Proposal Price IRR'!F13,IF(AND(OR(PP_DispIncr="Both",PP_DispIncr="Bottom"),PP_Increments=2),'Pricing Detail'!$N$13/'Proposal Price IRR'!F13,"")))),0)</f>
        <v>4.8725252021857922E-2</v>
      </c>
      <c r="H13" s="1460">
        <f>IFERROR(IF(AND(OR(PP_DispIncr="Both",PP_DispIncr="Bottom"),PP_Increments=5),Input!R32,IF(AND(OR(PP_DispIncr="Both",PP_DispIncr="Bottom"),PP_Increments=4),Input!R32,IF(AND(OR(PP_DispIncr="Both",PP_DispIncr="Bottom"),PP_Increments=3),Input!R32,IF(AND(OR(PP_DispIncr="Both",PP_DispIncr="Bottom"),PP_Increments=2),Input!R32,"")))),0)</f>
        <v>6.2680354098360661E-2</v>
      </c>
      <c r="I13" s="1460">
        <f>IFERROR(IF(AND(OR(PP_DispIncr="Both",PP_DispIncr="Bottom"),PP_Increments=5),Input!S32,IF(AND(OR(PP_DispIncr="Both",PP_DispIncr="Bottom"),PP_Increments=4),Input!S32,IF(AND(OR(PP_DispIncr="Both",PP_DispIncr="Bottom"),PP_Increments=3),Input!S32,IF(AND(OR(PP_DispIncr="Both",PP_DispIncr="Bottom"),PP_Increments=2),Input!S32,"")))),0)</f>
        <v>2.3236528960227897E-2</v>
      </c>
      <c r="J13" s="1485">
        <f>IFERROR(IF(AND(OR(PP_DispIncr="Both",PP_DispIncr="Bottom"),PP_Increments=5),Input!V32,IF(AND(OR(PP_DispIncr="Both",PP_DispIncr="Bottom"),PP_Increments=4),Input!V32,IF(AND(OR(PP_DispIncr="Both",PP_DispIncr="Bottom"),PP_Increments=3),Input!V32,IF(AND(OR(PP_DispIncr="Both",PP_DispIncr="Bottom"),PP_Increments=2),Input!V32,"")))),0)</f>
        <v>403.54591161682987</v>
      </c>
      <c r="K13" s="1484">
        <f>IFERROR(IF(AND(OR(PP_DispIncr="Both",PP_DispIncr="Bottom"),PP_Increments=5),Input!W32,IF(AND(OR(PP_DispIncr="Both",PP_DispIncr="Bottom"),PP_Increments=4),Input!W32,IF(AND(OR(PP_DispIncr="Both",PP_DispIncr="Bottom"),PP_Increments=3),Input!W32,IF(AND(OR(PP_DispIncr="Both",PP_DispIncr="Bottom"),PP_Increments=2),Input!W32,"")))),0)</f>
        <v>338888.88888888888</v>
      </c>
      <c r="L13" s="1486">
        <f>IFERROR(IF(AND(OR(PP_DispIncr="Both",PP_DispIncr="Bottom"),PP_Increments=5),Input!X32,IF(AND(OR(PP_DispIncr="Both",PP_DispIncr="Bottom"),PP_Increments=4),Input!X32,IF(AND(OR(PP_DispIncr="Both",PP_DispIncr="Bottom"),PP_Increments=3),Input!X32,IF(AND(OR(PP_DispIncr="Both",PP_DispIncr="Bottom"),PP_Increments=2),Input!X32,"")))),0)</f>
        <v>10.418089902992213</v>
      </c>
      <c r="M13" s="700"/>
      <c r="N13" s="700"/>
      <c r="O13" s="700"/>
      <c r="P13" s="598"/>
      <c r="Q13" s="598"/>
      <c r="R13" s="598"/>
      <c r="S13" s="598"/>
      <c r="T13" s="598"/>
      <c r="U13" s="605"/>
      <c r="V13" s="605"/>
      <c r="W13" s="61"/>
      <c r="X13" s="61"/>
      <c r="Y13" s="61"/>
      <c r="Z13" s="61"/>
      <c r="AA13" s="61"/>
      <c r="AB13" s="61"/>
      <c r="AC13" s="61"/>
      <c r="AD13" s="61"/>
      <c r="AE13" s="61"/>
      <c r="AF13" s="61"/>
    </row>
    <row r="14" spans="1:32" s="45" customFormat="1" ht="12.95" customHeight="1">
      <c r="A14" s="598"/>
      <c r="B14" s="700"/>
      <c r="C14" s="700"/>
      <c r="D14" s="1562"/>
      <c r="E14" s="1453"/>
      <c r="F14" s="1484">
        <f>IF(AND(OR(PP_DispIncr="Both",PP_DispIncr="Bottom"),PP_Increments=5),-3*Input!$B$34+Price,IF(AND(OR(PP_DispIncr="Both",PP_DispIncr="Bottom"),PP_Increments=4),-3*Input!$B$34+Price,IF(AND(OR(PP_DispIncr="Both",PP_DispIncr="Bottom"),PP_Increments=3),-3*Input!$B$34+Price,"")))</f>
        <v>9050000</v>
      </c>
      <c r="G14" s="1460">
        <f>IFERROR(IF(AND(OR(PP_DispIncr="Both",PP_DispIncr="Bottom"),PP_Increments=5),'Pricing Detail'!$N$13/'Proposal Price IRR'!F14,IF(AND(OR(PP_DispIncr="Both",PP_DispIncr="Bottom"),PP_Increments=4),'Pricing Detail'!$N$13/'Proposal Price IRR'!F14,IF(AND(OR(PP_DispIncr="Both",PP_DispIncr="Bottom"),PP_Increments=3),'Pricing Detail'!$N$13/'Proposal Price IRR'!F14,""))),0)</f>
        <v>4.9263652596685081E-2</v>
      </c>
      <c r="H14" s="1460">
        <f>IFERROR(IF(AND(OR(PP_DispIncr="Both",PP_DispIncr="Bottom"),PP_Increments=5),Input!R33,IF(AND(OR(PP_DispIncr="Both",PP_DispIncr="Bottom"),PP_Increments=4),Input!R33,IF(AND(OR(PP_DispIncr="Both",PP_DispIncr="Bottom"),PP_Increments=3),Input!R33,""))),0)</f>
        <v>6.3497816574585628E-2</v>
      </c>
      <c r="I14" s="1460">
        <f>IFERROR(IF(AND(OR(PP_DispIncr="Both",PP_DispIncr="Bottom"),PP_Increments=5),Input!S33,IF(AND(OR(PP_DispIncr="Both",PP_DispIncr="Bottom"),PP_Increments=4),Input!S33,IF(AND(OR(PP_DispIncr="Both",PP_DispIncr="Bottom"),PP_Increments=3),Input!S33,""))),0)</f>
        <v>2.4716510459488233E-2</v>
      </c>
      <c r="J14" s="1485">
        <f>IFERROR(IF(AND(OR(PP_DispIncr="Both",PP_DispIncr="Bottom"),PP_Increments=5),Input!V33,IF(AND(OR(PP_DispIncr="Both",PP_DispIncr="Bottom"),PP_Increments=4),Input!V33,IF(AND(OR(PP_DispIncr="Both",PP_DispIncr="Bottom"),PP_Increments=3),Input!V33,""))),0)</f>
        <v>399.13557378495193</v>
      </c>
      <c r="K14" s="1484">
        <f>IFERROR(IF(AND(OR(PP_DispIncr="Both",PP_DispIncr="Bottom"),PP_Increments=5),Input!W33,IF(AND(OR(PP_DispIncr="Both",PP_DispIncr="Bottom"),PP_Increments=4),Input!W33,IF(AND(OR(PP_DispIncr="Both",PP_DispIncr="Bottom"),PP_Increments=3),Input!W33,""))),0)</f>
        <v>335185.18518518517</v>
      </c>
      <c r="L14" s="1486">
        <f>IFERROR(IF(AND(OR(PP_DispIncr="Both",PP_DispIncr="Bottom"),PP_Increments=5),Input!X33,IF(AND(OR(PP_DispIncr="Both",PP_DispIncr="Bottom"),PP_Increments=4),Input!X33,IF(AND(OR(PP_DispIncr="Both",PP_DispIncr="Bottom"),PP_Increments=3),Input!X33,""))),0)</f>
        <v>10.304230996948581</v>
      </c>
      <c r="M14" s="700"/>
      <c r="N14" s="700"/>
      <c r="O14" s="700"/>
      <c r="P14" s="598"/>
      <c r="Q14" s="598"/>
      <c r="R14" s="598"/>
      <c r="S14" s="598"/>
      <c r="T14" s="598"/>
      <c r="U14" s="605"/>
      <c r="V14" s="605"/>
      <c r="W14" s="61"/>
      <c r="X14" s="61"/>
      <c r="Y14" s="61"/>
      <c r="Z14" s="61"/>
      <c r="AA14" s="61"/>
      <c r="AB14" s="61"/>
      <c r="AC14" s="61"/>
      <c r="AD14" s="61"/>
      <c r="AE14" s="61"/>
      <c r="AF14" s="61"/>
    </row>
    <row r="15" spans="1:32" s="45" customFormat="1" ht="12.95" customHeight="1">
      <c r="A15" s="598"/>
      <c r="B15" s="700"/>
      <c r="C15" s="700"/>
      <c r="D15" s="1354"/>
      <c r="E15" s="1453"/>
      <c r="F15" s="1484">
        <f>IF(AND(OR(PP_DispIncr="Both",PP_DispIncr="Bottom"),PP_Increments=5),-4*Input!$B$34+Price,IF(AND(OR(PP_DispIncr="Both",PP_DispIncr="Bottom"),PP_Increments=4),-4*Input!$B$34+Price,""))</f>
        <v>8950000</v>
      </c>
      <c r="G15" s="1460">
        <f>IFERROR(IF(AND(OR(PP_DispIncr="Both",PP_DispIncr="Bottom"),PP_Increments=5),'Pricing Detail'!$N$13/'Proposal Price IRR'!F15,IF(AND(OR(PP_DispIncr="Both",PP_DispIncr="Bottom"),PP_Increments=4),'Pricing Detail'!$N$13/'Proposal Price IRR'!F15,"")),0)</f>
        <v>4.9814084469273739E-2</v>
      </c>
      <c r="H15" s="1460">
        <f>IFERROR(IF(AND(OR(PP_DispIncr="Both",PP_DispIncr="Bottom"),PP_Increments=5),Input!R34,IF(AND(OR(PP_DispIncr="Both",PP_DispIncr="Bottom"),PP_Increments=4),Input!R34,"")),0)</f>
        <v>6.4333546368715078E-2</v>
      </c>
      <c r="I15" s="1460">
        <f>IFERROR(IF(AND(OR(PP_DispIncr="Both",PP_DispIncr="Bottom"),PP_Increments=5),Input!S34,IF(AND(OR(PP_DispIncr="Both",PP_DispIncr="Bottom"),PP_Increments=4),Input!S34,"")),0)</f>
        <v>2.6229564171022512E-2</v>
      </c>
      <c r="J15" s="1485">
        <f>IFERROR(IF(AND(OR(PP_DispIncr="Both",PP_DispIncr="Bottom"),PP_Increments=5),Input!V34,IF(AND(OR(PP_DispIncr="Both",PP_DispIncr="Bottom"),PP_Increments=4),Input!V34,"")),0)</f>
        <v>394.72523595307399</v>
      </c>
      <c r="K15" s="1484">
        <f>IFERROR(IF(AND(OR(PP_DispIncr="Both",PP_DispIncr="Bottom"),PP_Increments=5),Input!W34,IF(AND(OR(PP_DispIncr="Both",PP_DispIncr="Bottom"),PP_Increments=4),Input!W34,"")),0)</f>
        <v>331481.48148148146</v>
      </c>
      <c r="L15" s="1486">
        <f>IFERROR(IF(AND(OR(PP_DispIncr="Both",PP_DispIncr="Bottom"),PP_Increments=5),Input!X34,IF(AND(OR(PP_DispIncr="Both",PP_DispIncr="Bottom"),PP_Increments=4),Input!X34,"")),0)</f>
        <v>10.190372090904951</v>
      </c>
      <c r="M15" s="700"/>
      <c r="N15" s="700"/>
      <c r="O15" s="700"/>
      <c r="P15" s="598"/>
      <c r="Q15" s="598"/>
      <c r="R15" s="598"/>
      <c r="S15" s="598"/>
      <c r="T15" s="598"/>
      <c r="U15" s="605"/>
      <c r="V15" s="605"/>
      <c r="W15" s="61"/>
      <c r="X15" s="61"/>
      <c r="Y15" s="61"/>
      <c r="Z15" s="61"/>
      <c r="AA15" s="61"/>
      <c r="AB15" s="61"/>
      <c r="AC15" s="61"/>
      <c r="AD15" s="61"/>
      <c r="AE15" s="61"/>
      <c r="AF15" s="61"/>
    </row>
    <row r="16" spans="1:32" s="45" customFormat="1" ht="12.95" customHeight="1">
      <c r="A16" s="598"/>
      <c r="B16" s="700"/>
      <c r="C16" s="700"/>
      <c r="D16" s="1354"/>
      <c r="E16" s="1453"/>
      <c r="F16" s="1484">
        <f>IF(AND(OR(PP_DispIncr="Both",PP_DispIncr="Bottom"),PP_Increments=5),-5*Input!$B$34+Price,"")</f>
        <v>8850000</v>
      </c>
      <c r="G16" s="1460">
        <f>IFERROR(IF(AND(OR(PP_DispIncr="Both",PP_DispIncr="Bottom"),PP_Increments=5),'Pricing Detail'!$N$13/'Proposal Price IRR'!F16,""),0)</f>
        <v>5.0376955480225985E-2</v>
      </c>
      <c r="H16" s="1460">
        <f>IFERROR(IF(AND(OR(PP_DispIncr="Both",PP_DispIncr="Bottom"),PP_Increments=5),Input!R35,""),0)</f>
        <v>6.5188162711864409E-2</v>
      </c>
      <c r="I16" s="1460">
        <f>IFERROR(IF(AND(OR(PP_DispIncr="Both",PP_DispIncr="Bottom"),PP_Increments=5),Input!S35,""),0)</f>
        <v>2.7776811186772301E-2</v>
      </c>
      <c r="J16" s="1485">
        <f>IFERROR(IF(AND(OR(PP_DispIncr="Both",PP_DispIncr="Bottom"),PP_Increments=5),Input!V35,""),0)</f>
        <v>390.31489812119611</v>
      </c>
      <c r="K16" s="1484">
        <f>IFERROR(IF(AND(OR(PP_DispIncr="Both",PP_DispIncr="Bottom"),PP_Increments=5),Input!W35,""),0)</f>
        <v>327777.77777777775</v>
      </c>
      <c r="L16" s="1486">
        <f>IFERROR(IF(AND(OR(PP_DispIncr="Both",PP_DispIncr="Bottom"),PP_Increments=5),Input!X35,""),0)</f>
        <v>10.076513184861319</v>
      </c>
      <c r="M16" s="700"/>
      <c r="N16" s="700"/>
      <c r="O16" s="700"/>
      <c r="P16" s="598"/>
      <c r="Q16" s="598"/>
      <c r="R16" s="598"/>
      <c r="S16" s="598"/>
      <c r="T16" s="598"/>
      <c r="U16" s="605"/>
      <c r="V16" s="605"/>
      <c r="W16" s="61"/>
      <c r="X16" s="61"/>
      <c r="Y16" s="61"/>
      <c r="Z16" s="61"/>
      <c r="AA16" s="61"/>
      <c r="AB16" s="61"/>
      <c r="AC16" s="61"/>
      <c r="AD16" s="61"/>
      <c r="AE16" s="61"/>
      <c r="AF16" s="61"/>
    </row>
    <row r="17" spans="1:32" s="45" customFormat="1" ht="5.0999999999999996" customHeight="1">
      <c r="A17" s="598"/>
      <c r="B17" s="700"/>
      <c r="C17" s="700"/>
      <c r="D17" s="1453"/>
      <c r="E17" s="1453"/>
      <c r="F17" s="1496"/>
      <c r="G17" s="1496"/>
      <c r="H17" s="1454"/>
      <c r="I17" s="1454"/>
      <c r="J17" s="1497"/>
      <c r="K17" s="1496"/>
      <c r="L17" s="1454"/>
      <c r="M17" s="700"/>
      <c r="N17" s="700"/>
      <c r="O17" s="700"/>
      <c r="P17" s="598"/>
      <c r="Q17" s="598"/>
      <c r="R17" s="598"/>
      <c r="S17" s="598"/>
      <c r="T17" s="598"/>
      <c r="U17" s="605"/>
      <c r="V17" s="605"/>
      <c r="W17" s="61"/>
      <c r="X17" s="61"/>
      <c r="Y17" s="61"/>
      <c r="Z17" s="61"/>
      <c r="AA17" s="61"/>
      <c r="AB17" s="61"/>
      <c r="AC17" s="61"/>
      <c r="AD17" s="61"/>
      <c r="AE17" s="61"/>
      <c r="AF17" s="61"/>
    </row>
    <row r="18" spans="1:32" s="45" customFormat="1" ht="5.0999999999999996" customHeight="1">
      <c r="A18" s="598"/>
      <c r="B18" s="700"/>
      <c r="C18" s="700"/>
      <c r="D18" s="1453"/>
      <c r="E18" s="1453"/>
      <c r="F18" s="1496"/>
      <c r="G18" s="1496"/>
      <c r="H18" s="1454"/>
      <c r="I18" s="1454"/>
      <c r="J18" s="1497"/>
      <c r="K18" s="1496"/>
      <c r="L18" s="1454"/>
      <c r="M18" s="700"/>
      <c r="N18" s="700"/>
      <c r="O18" s="700"/>
      <c r="P18" s="598"/>
      <c r="Q18" s="598"/>
      <c r="R18" s="598"/>
      <c r="S18" s="598"/>
      <c r="T18" s="598"/>
      <c r="U18" s="605"/>
      <c r="V18" s="605"/>
      <c r="W18" s="61"/>
      <c r="X18" s="61"/>
      <c r="Y18" s="61"/>
      <c r="Z18" s="61"/>
      <c r="AA18" s="61"/>
      <c r="AB18" s="61"/>
      <c r="AC18" s="61"/>
      <c r="AD18" s="61"/>
      <c r="AE18" s="61"/>
      <c r="AF18" s="61"/>
    </row>
    <row r="19" spans="1:32" s="45" customFormat="1" ht="5.0999999999999996" customHeight="1">
      <c r="A19" s="598"/>
      <c r="B19" s="700"/>
      <c r="C19" s="702"/>
      <c r="D19" s="1455"/>
      <c r="E19" s="1456"/>
      <c r="F19" s="1498"/>
      <c r="G19" s="1498"/>
      <c r="H19" s="1498"/>
      <c r="I19" s="1498"/>
      <c r="J19" s="1498"/>
      <c r="K19" s="1499"/>
      <c r="L19" s="1499"/>
      <c r="M19" s="700"/>
      <c r="N19" s="700"/>
      <c r="O19" s="700"/>
      <c r="P19" s="598"/>
      <c r="Q19" s="598"/>
      <c r="R19" s="598"/>
      <c r="S19" s="598"/>
      <c r="T19" s="598"/>
      <c r="U19" s="605"/>
      <c r="V19" s="605"/>
      <c r="W19" s="61"/>
      <c r="X19" s="61"/>
      <c r="Y19" s="61"/>
      <c r="Z19" s="61"/>
      <c r="AA19" s="61"/>
      <c r="AB19" s="61"/>
      <c r="AC19" s="61"/>
      <c r="AD19" s="61"/>
      <c r="AE19" s="61"/>
      <c r="AF19" s="61"/>
    </row>
    <row r="20" spans="1:32" s="45" customFormat="1" ht="12" customHeight="1">
      <c r="A20" s="598"/>
      <c r="B20" s="700"/>
      <c r="C20" s="700"/>
      <c r="D20" s="1353" t="s">
        <v>1838</v>
      </c>
      <c r="E20" s="1457"/>
      <c r="F20" s="1457"/>
      <c r="G20" s="1457"/>
      <c r="H20" s="1458"/>
      <c r="I20" s="1455"/>
      <c r="J20" s="1455"/>
      <c r="K20" s="1459"/>
      <c r="L20" s="1456"/>
      <c r="M20" s="702"/>
      <c r="N20" s="700"/>
      <c r="O20" s="700"/>
      <c r="P20" s="598"/>
      <c r="Q20" s="598"/>
      <c r="R20" s="598"/>
      <c r="S20" s="598"/>
      <c r="T20" s="598"/>
      <c r="U20" s="605"/>
      <c r="V20" s="605"/>
      <c r="W20" s="61"/>
      <c r="X20" s="61"/>
      <c r="Y20" s="61"/>
      <c r="Z20" s="61"/>
      <c r="AA20" s="61"/>
      <c r="AB20" s="61"/>
      <c r="AC20" s="61"/>
      <c r="AD20" s="61"/>
      <c r="AE20" s="61"/>
      <c r="AF20" s="61"/>
    </row>
    <row r="21" spans="1:32" s="45" customFormat="1" ht="12" customHeight="1">
      <c r="A21" s="598"/>
      <c r="B21" s="700"/>
      <c r="C21" s="700"/>
      <c r="D21" s="1366" t="s">
        <v>10</v>
      </c>
      <c r="E21" s="1361"/>
      <c r="F21" s="1361"/>
      <c r="G21" s="1361"/>
      <c r="H21" s="1460">
        <f>'Proposal Price IRR'!N21</f>
        <v>5.7500000000000002E-2</v>
      </c>
      <c r="I21" s="1455"/>
      <c r="J21" s="1455"/>
      <c r="K21" s="1456"/>
      <c r="L21" s="1455"/>
      <c r="M21" s="702"/>
      <c r="N21" s="700"/>
      <c r="O21" s="700"/>
      <c r="P21" s="598"/>
      <c r="Q21" s="649"/>
      <c r="R21" s="598"/>
      <c r="S21" s="598"/>
      <c r="T21" s="598"/>
      <c r="U21" s="605"/>
      <c r="V21" s="605"/>
      <c r="W21" s="61"/>
      <c r="X21" s="61"/>
      <c r="Y21" s="61"/>
      <c r="Z21" s="61"/>
      <c r="AA21" s="61"/>
      <c r="AB21" s="61"/>
      <c r="AC21" s="61"/>
      <c r="AD21" s="61"/>
      <c r="AE21" s="61"/>
      <c r="AF21" s="61"/>
    </row>
    <row r="22" spans="1:32" s="45" customFormat="1" ht="12" customHeight="1">
      <c r="A22" s="598"/>
      <c r="B22" s="700"/>
      <c r="C22" s="700"/>
      <c r="D22" s="1366" t="s">
        <v>1839</v>
      </c>
      <c r="E22" s="1361"/>
      <c r="F22" s="1361"/>
      <c r="G22" s="1361"/>
      <c r="H22" s="1461" t="str">
        <f>'Proposal Price IRR'!N22&amp;" Years"</f>
        <v>30 Years</v>
      </c>
      <c r="I22" s="1455"/>
      <c r="J22" s="1455"/>
      <c r="K22" s="1456"/>
      <c r="L22" s="1462"/>
      <c r="M22" s="702"/>
      <c r="N22" s="700"/>
      <c r="O22" s="700"/>
      <c r="P22" s="598"/>
      <c r="Q22" s="598"/>
      <c r="R22" s="598"/>
      <c r="S22" s="598"/>
      <c r="T22" s="598"/>
      <c r="U22" s="605"/>
      <c r="V22" s="605"/>
      <c r="W22" s="61"/>
      <c r="X22" s="61"/>
      <c r="Y22" s="61"/>
      <c r="Z22" s="61"/>
      <c r="AA22" s="61"/>
      <c r="AB22" s="61"/>
      <c r="AC22" s="61"/>
      <c r="AD22" s="61"/>
      <c r="AE22" s="61"/>
      <c r="AF22" s="61"/>
    </row>
    <row r="23" spans="1:32" s="45" customFormat="1" ht="12" customHeight="1">
      <c r="A23" s="598"/>
      <c r="B23" s="700"/>
      <c r="C23" s="700"/>
      <c r="D23" s="1366" t="s">
        <v>1323</v>
      </c>
      <c r="E23" s="1361"/>
      <c r="F23" s="1361"/>
      <c r="G23" s="1361"/>
      <c r="H23" s="1461" t="str">
        <f>'Proposal Price IRR'!N23&amp;" Months"</f>
        <v>0 Months</v>
      </c>
      <c r="I23" s="1455"/>
      <c r="J23" s="1455"/>
      <c r="K23" s="1456"/>
      <c r="L23" s="1462"/>
      <c r="M23" s="702"/>
      <c r="N23" s="700"/>
      <c r="O23" s="700"/>
      <c r="P23" s="598"/>
      <c r="Q23" s="598"/>
      <c r="R23" s="598"/>
      <c r="S23" s="598"/>
      <c r="T23" s="598"/>
      <c r="U23" s="605"/>
      <c r="V23" s="605"/>
      <c r="W23" s="61"/>
      <c r="X23" s="61"/>
      <c r="Y23" s="61"/>
      <c r="Z23" s="61"/>
      <c r="AA23" s="61"/>
      <c r="AB23" s="61"/>
      <c r="AC23" s="61"/>
      <c r="AD23" s="61"/>
      <c r="AE23" s="61"/>
      <c r="AF23" s="61"/>
    </row>
    <row r="24" spans="1:32" s="45" customFormat="1" ht="12" customHeight="1">
      <c r="A24" s="598"/>
      <c r="B24" s="700"/>
      <c r="C24" s="700"/>
      <c r="D24" s="1366" t="s">
        <v>1840</v>
      </c>
      <c r="E24" s="1361"/>
      <c r="F24" s="1361"/>
      <c r="G24" s="1361"/>
      <c r="H24" s="1460">
        <f>'Proposal Price IRR'!N24</f>
        <v>7.0028742773226349E-2</v>
      </c>
      <c r="I24" s="1455"/>
      <c r="J24" s="1455"/>
      <c r="K24" s="1463"/>
      <c r="L24" s="1464"/>
      <c r="M24" s="702"/>
      <c r="N24" s="700"/>
      <c r="O24" s="700"/>
      <c r="P24" s="598"/>
      <c r="Q24" s="598"/>
      <c r="R24" s="598"/>
      <c r="S24" s="598"/>
      <c r="T24" s="598"/>
      <c r="U24" s="605"/>
      <c r="V24" s="605"/>
      <c r="W24" s="61"/>
      <c r="X24" s="61"/>
      <c r="Y24" s="61"/>
      <c r="Z24" s="61"/>
      <c r="AA24" s="61"/>
      <c r="AB24" s="61"/>
      <c r="AC24" s="61"/>
      <c r="AD24" s="61"/>
      <c r="AE24" s="61"/>
      <c r="AF24" s="61"/>
    </row>
    <row r="25" spans="1:32" s="45" customFormat="1" ht="12" customHeight="1">
      <c r="A25" s="598"/>
      <c r="B25" s="700"/>
      <c r="C25" s="700"/>
      <c r="D25" s="1366" t="s">
        <v>1021</v>
      </c>
      <c r="E25" s="1361"/>
      <c r="F25" s="1361"/>
      <c r="G25" s="1361"/>
      <c r="H25" s="1461" t="str">
        <f>'Proposal Price IRR'!N25&amp;" Years"</f>
        <v>3 Years</v>
      </c>
      <c r="I25" s="1455"/>
      <c r="J25" s="1455"/>
      <c r="K25" s="1456"/>
      <c r="L25" s="1456"/>
      <c r="M25" s="702"/>
      <c r="N25" s="700"/>
      <c r="O25" s="700"/>
      <c r="P25" s="598"/>
      <c r="Q25" s="598"/>
      <c r="R25" s="598"/>
      <c r="S25" s="598"/>
      <c r="T25" s="598"/>
      <c r="U25" s="605"/>
      <c r="V25" s="605"/>
      <c r="W25" s="61"/>
      <c r="X25" s="61"/>
      <c r="Y25" s="61"/>
      <c r="Z25" s="61"/>
      <c r="AA25" s="61"/>
      <c r="AB25" s="61"/>
      <c r="AC25" s="61"/>
      <c r="AD25" s="61"/>
      <c r="AE25" s="61"/>
      <c r="AF25" s="61"/>
    </row>
    <row r="26" spans="1:32" s="45" customFormat="1" ht="12" customHeight="1">
      <c r="A26" s="598"/>
      <c r="B26" s="700"/>
      <c r="C26" s="700"/>
      <c r="D26" s="1366" t="s">
        <v>1023</v>
      </c>
      <c r="E26" s="1361"/>
      <c r="F26" s="1361"/>
      <c r="G26" s="1361"/>
      <c r="H26" s="1465">
        <f>'Proposal Price IRR'!N26</f>
        <v>0.55000000000000004</v>
      </c>
      <c r="I26" s="1455"/>
      <c r="J26" s="1455"/>
      <c r="K26" s="1456"/>
      <c r="L26" s="1456"/>
      <c r="M26" s="702"/>
      <c r="N26" s="700"/>
      <c r="O26" s="700"/>
      <c r="P26" s="598"/>
      <c r="Q26" s="598"/>
      <c r="R26" s="598"/>
      <c r="S26" s="598"/>
      <c r="T26" s="598"/>
      <c r="U26" s="605"/>
      <c r="V26" s="605"/>
      <c r="W26" s="61"/>
      <c r="X26" s="61"/>
      <c r="Y26" s="61"/>
      <c r="Z26" s="61"/>
      <c r="AA26" s="61"/>
      <c r="AB26" s="61"/>
      <c r="AC26" s="61"/>
      <c r="AD26" s="61"/>
      <c r="AE26" s="61"/>
      <c r="AF26" s="61"/>
    </row>
    <row r="27" spans="1:32" s="45" customFormat="1" ht="12" customHeight="1">
      <c r="A27" s="598"/>
      <c r="B27" s="700"/>
      <c r="C27" s="700"/>
      <c r="D27" s="1366" t="s">
        <v>7</v>
      </c>
      <c r="E27" s="1361"/>
      <c r="F27" s="1361"/>
      <c r="G27" s="1361"/>
      <c r="H27" s="1466">
        <f>'Proposal Price IRR'!N27</f>
        <v>5142500</v>
      </c>
      <c r="I27" s="1455"/>
      <c r="J27" s="1455"/>
      <c r="K27" s="1456"/>
      <c r="L27" s="1456"/>
      <c r="M27" s="702"/>
      <c r="N27" s="700"/>
      <c r="O27" s="700"/>
      <c r="P27" s="598"/>
      <c r="Q27" s="598"/>
      <c r="R27" s="598"/>
      <c r="S27" s="598"/>
      <c r="T27" s="598"/>
      <c r="U27" s="605"/>
      <c r="V27" s="605"/>
      <c r="W27" s="61"/>
      <c r="X27" s="61"/>
      <c r="Y27" s="61"/>
      <c r="Z27" s="61"/>
      <c r="AA27" s="61"/>
      <c r="AB27" s="61"/>
      <c r="AC27" s="61"/>
      <c r="AD27" s="61"/>
      <c r="AE27" s="61"/>
      <c r="AF27" s="61"/>
    </row>
    <row r="28" spans="1:32" s="45" customFormat="1" ht="12" customHeight="1">
      <c r="A28" s="598"/>
      <c r="B28" s="700"/>
      <c r="C28" s="700"/>
      <c r="D28" s="1387" t="s">
        <v>1149</v>
      </c>
      <c r="E28" s="1415"/>
      <c r="F28" s="1415"/>
      <c r="G28" s="1415"/>
      <c r="H28" s="1467">
        <f>'Proposal Price IRR'!N28</f>
        <v>4207500</v>
      </c>
      <c r="I28" s="1455"/>
      <c r="J28" s="1455"/>
      <c r="K28" s="1456"/>
      <c r="L28" s="1456"/>
      <c r="M28" s="702"/>
      <c r="N28" s="700"/>
      <c r="O28" s="700"/>
      <c r="P28" s="598"/>
      <c r="Q28" s="598"/>
      <c r="R28" s="598"/>
      <c r="S28" s="598"/>
      <c r="T28" s="598"/>
      <c r="U28" s="605"/>
      <c r="V28" s="605"/>
      <c r="W28" s="61"/>
      <c r="X28" s="61"/>
      <c r="Y28" s="61"/>
      <c r="Z28" s="61"/>
      <c r="AA28" s="61"/>
      <c r="AB28" s="61"/>
      <c r="AC28" s="61"/>
      <c r="AD28" s="61"/>
      <c r="AE28" s="61"/>
      <c r="AF28" s="61"/>
    </row>
    <row r="29" spans="1:32" s="45" customFormat="1" ht="3.95" customHeight="1">
      <c r="A29" s="598"/>
      <c r="B29" s="700"/>
      <c r="C29" s="700"/>
      <c r="D29" s="1468"/>
      <c r="E29" s="1361"/>
      <c r="F29" s="1361"/>
      <c r="G29" s="1361"/>
      <c r="H29" s="1469"/>
      <c r="I29" s="1455"/>
      <c r="J29" s="1455"/>
      <c r="K29" s="1456"/>
      <c r="L29" s="1456"/>
      <c r="M29" s="702"/>
      <c r="N29" s="700"/>
      <c r="O29" s="700"/>
      <c r="P29" s="598"/>
      <c r="Q29" s="598"/>
      <c r="R29" s="598"/>
      <c r="S29" s="598"/>
      <c r="T29" s="598"/>
      <c r="U29" s="605"/>
      <c r="V29" s="605"/>
      <c r="W29" s="61"/>
      <c r="X29" s="61"/>
      <c r="Y29" s="61"/>
      <c r="Z29" s="61"/>
      <c r="AA29" s="61"/>
      <c r="AB29" s="61"/>
      <c r="AC29" s="61"/>
      <c r="AD29" s="61"/>
      <c r="AE29" s="61"/>
      <c r="AF29" s="61"/>
    </row>
    <row r="30" spans="1:32" s="45" customFormat="1" ht="3.95" customHeight="1">
      <c r="A30" s="598"/>
      <c r="B30" s="700"/>
      <c r="C30" s="700"/>
      <c r="D30" s="1470"/>
      <c r="E30" s="1471"/>
      <c r="F30" s="1471"/>
      <c r="G30" s="1471"/>
      <c r="H30" s="1472"/>
      <c r="I30" s="1455"/>
      <c r="J30" s="1455"/>
      <c r="K30" s="1456"/>
      <c r="L30" s="1456"/>
      <c r="M30" s="702"/>
      <c r="N30" s="700"/>
      <c r="O30" s="700"/>
      <c r="P30" s="598"/>
      <c r="Q30" s="598"/>
      <c r="R30" s="598"/>
      <c r="S30" s="598"/>
      <c r="T30" s="598"/>
      <c r="U30" s="605"/>
      <c r="V30" s="605"/>
      <c r="W30" s="61"/>
      <c r="X30" s="61"/>
      <c r="Y30" s="61"/>
      <c r="Z30" s="61"/>
      <c r="AA30" s="61"/>
      <c r="AB30" s="61"/>
      <c r="AC30" s="61"/>
      <c r="AD30" s="61"/>
      <c r="AE30" s="61"/>
      <c r="AF30" s="61"/>
    </row>
    <row r="31" spans="1:32" s="45" customFormat="1" ht="3.95" customHeight="1">
      <c r="A31" s="598"/>
      <c r="B31" s="700"/>
      <c r="C31" s="700"/>
      <c r="D31" s="1456"/>
      <c r="E31" s="1456"/>
      <c r="F31" s="1455"/>
      <c r="G31" s="1455"/>
      <c r="H31" s="1455"/>
      <c r="I31" s="1455"/>
      <c r="J31" s="1455"/>
      <c r="K31" s="1455"/>
      <c r="L31" s="1456"/>
      <c r="M31" s="702"/>
      <c r="N31" s="702"/>
      <c r="O31" s="700"/>
      <c r="P31" s="598"/>
      <c r="Q31" s="598"/>
      <c r="R31" s="598"/>
      <c r="S31" s="598"/>
      <c r="T31" s="598"/>
      <c r="U31" s="605"/>
      <c r="V31" s="605"/>
      <c r="W31" s="61"/>
      <c r="X31" s="61"/>
      <c r="Y31" s="61"/>
      <c r="Z31" s="61"/>
      <c r="AA31" s="61"/>
      <c r="AB31" s="61"/>
      <c r="AC31" s="61"/>
      <c r="AD31" s="61"/>
      <c r="AE31" s="61"/>
      <c r="AF31" s="61"/>
    </row>
    <row r="32" spans="1:32" s="45" customFormat="1" ht="12.95" customHeight="1">
      <c r="A32" s="598"/>
      <c r="B32" s="700"/>
      <c r="C32" s="700"/>
      <c r="D32" s="1353" t="s">
        <v>1841</v>
      </c>
      <c r="E32" s="1457"/>
      <c r="F32" s="1457"/>
      <c r="G32" s="1457"/>
      <c r="H32" s="1458"/>
      <c r="I32" s="1457"/>
      <c r="J32" s="1457"/>
      <c r="K32" s="1457"/>
      <c r="L32" s="1458"/>
      <c r="M32" s="702"/>
      <c r="N32" s="703"/>
      <c r="O32" s="704"/>
      <c r="P32" s="650"/>
      <c r="Q32" s="598"/>
      <c r="R32" s="598"/>
      <c r="S32" s="598"/>
      <c r="T32" s="598"/>
      <c r="U32" s="605"/>
      <c r="V32" s="605"/>
      <c r="W32" s="61"/>
      <c r="X32" s="61"/>
      <c r="Y32" s="61"/>
      <c r="Z32" s="61"/>
      <c r="AA32" s="61"/>
      <c r="AB32" s="61"/>
      <c r="AC32" s="61"/>
      <c r="AD32" s="61"/>
      <c r="AE32" s="61"/>
      <c r="AF32" s="61"/>
    </row>
    <row r="33" spans="1:32" s="45" customFormat="1" ht="12.95" customHeight="1">
      <c r="A33" s="598"/>
      <c r="B33" s="700"/>
      <c r="C33" s="700"/>
      <c r="D33" s="1366" t="s">
        <v>1842</v>
      </c>
      <c r="E33" s="1361"/>
      <c r="F33" s="1361"/>
      <c r="G33" s="1361"/>
      <c r="H33" s="1383">
        <f>'Rent Roll Summary'!$C$36</f>
        <v>27</v>
      </c>
      <c r="I33" s="1473"/>
      <c r="J33" s="1474" t="str">
        <f>Input!A27</f>
        <v>Year Built/Renovated</v>
      </c>
      <c r="K33" s="1475"/>
      <c r="L33" s="1476">
        <f>Input!B27</f>
        <v>1953</v>
      </c>
      <c r="M33" s="700"/>
      <c r="N33" s="700"/>
      <c r="O33" s="700"/>
      <c r="P33" s="598"/>
      <c r="Q33" s="598"/>
      <c r="R33" s="598"/>
      <c r="S33" s="598"/>
      <c r="T33" s="598"/>
      <c r="U33" s="605"/>
      <c r="V33" s="605"/>
      <c r="W33" s="61"/>
      <c r="X33" s="61"/>
      <c r="Y33" s="61"/>
      <c r="Z33" s="61"/>
      <c r="AA33" s="61"/>
      <c r="AB33" s="61"/>
      <c r="AC33" s="61"/>
      <c r="AD33" s="61"/>
      <c r="AE33" s="61"/>
      <c r="AF33" s="61"/>
    </row>
    <row r="34" spans="1:32" s="45" customFormat="1" ht="12.95" customHeight="1">
      <c r="A34" s="598"/>
      <c r="B34" s="700"/>
      <c r="C34" s="700"/>
      <c r="D34" s="1366" t="s">
        <v>1843</v>
      </c>
      <c r="E34" s="1366"/>
      <c r="F34" s="1366"/>
      <c r="G34" s="1366"/>
      <c r="H34" s="1383">
        <f>'Rent Roll Summary'!$T$36</f>
        <v>22674</v>
      </c>
      <c r="I34" s="1473"/>
      <c r="J34" s="1474" t="s">
        <v>1844</v>
      </c>
      <c r="K34" s="1475"/>
      <c r="L34" s="1368">
        <f>'Rent Roll Summary'!$U$36</f>
        <v>1904.7777777777778</v>
      </c>
      <c r="M34" s="700"/>
      <c r="N34" s="700"/>
      <c r="O34" s="700"/>
      <c r="P34" s="598"/>
      <c r="Q34" s="598"/>
      <c r="R34" s="598"/>
      <c r="S34" s="598"/>
      <c r="T34" s="598"/>
      <c r="U34" s="605"/>
      <c r="V34" s="605"/>
      <c r="W34" s="61"/>
      <c r="X34" s="61"/>
      <c r="Y34" s="61"/>
      <c r="Z34" s="61"/>
      <c r="AA34" s="61"/>
      <c r="AB34" s="61"/>
      <c r="AC34" s="61"/>
      <c r="AD34" s="61"/>
      <c r="AE34" s="61"/>
      <c r="AF34" s="61"/>
    </row>
    <row r="35" spans="1:32" s="45" customFormat="1" ht="12.95" customHeight="1">
      <c r="A35" s="598"/>
      <c r="B35" s="700"/>
      <c r="C35" s="700"/>
      <c r="D35" s="1387" t="s">
        <v>1845</v>
      </c>
      <c r="E35" s="1387"/>
      <c r="F35" s="1387"/>
      <c r="G35" s="1387"/>
      <c r="H35" s="1477">
        <f>'Rent Roll Summary'!$D$36</f>
        <v>839.77777777777783</v>
      </c>
      <c r="I35" s="1478"/>
      <c r="J35" s="1479" t="s">
        <v>1846</v>
      </c>
      <c r="K35" s="1480"/>
      <c r="L35" s="1481" t="s">
        <v>1847</v>
      </c>
      <c r="M35" s="700"/>
      <c r="N35" s="700"/>
      <c r="O35" s="700"/>
      <c r="P35" s="598"/>
      <c r="Q35" s="598"/>
      <c r="R35" s="598"/>
      <c r="S35" s="598"/>
      <c r="T35" s="598"/>
      <c r="U35" s="598"/>
      <c r="V35" s="598"/>
    </row>
    <row r="36" spans="1:32" s="45" customFormat="1" ht="20.25" customHeight="1">
      <c r="A36" s="598"/>
      <c r="B36" s="700"/>
      <c r="C36" s="702"/>
      <c r="D36" s="1561"/>
      <c r="E36" s="1561"/>
      <c r="F36" s="1561"/>
      <c r="G36" s="1561"/>
      <c r="H36" s="1561"/>
      <c r="I36" s="705"/>
      <c r="J36" s="701"/>
      <c r="K36" s="702"/>
      <c r="L36" s="702"/>
      <c r="M36" s="702"/>
      <c r="N36" s="702"/>
      <c r="O36" s="706"/>
      <c r="P36" s="598"/>
      <c r="Q36" s="598"/>
      <c r="R36" s="598"/>
      <c r="S36" s="598"/>
      <c r="T36" s="598"/>
      <c r="U36" s="598"/>
      <c r="V36" s="598"/>
    </row>
    <row r="37" spans="1:32" s="45" customFormat="1" ht="11.25" customHeight="1">
      <c r="A37" s="598"/>
      <c r="B37" s="700"/>
      <c r="C37" s="702"/>
      <c r="D37" s="702"/>
      <c r="E37" s="701"/>
      <c r="F37" s="701"/>
      <c r="G37" s="701"/>
      <c r="H37" s="701"/>
      <c r="I37" s="701"/>
      <c r="J37" s="701"/>
      <c r="K37" s="702"/>
      <c r="L37" s="702"/>
      <c r="M37" s="702"/>
      <c r="N37" s="702"/>
      <c r="O37" s="694"/>
      <c r="P37" s="598"/>
      <c r="Q37" s="598"/>
      <c r="R37" s="598"/>
      <c r="S37" s="598"/>
      <c r="T37" s="598"/>
      <c r="U37" s="598"/>
      <c r="V37" s="598"/>
    </row>
    <row r="38" spans="1:32" s="45" customFormat="1" ht="11.25" customHeight="1">
      <c r="A38" s="598"/>
      <c r="B38" s="700"/>
      <c r="C38" s="694"/>
      <c r="D38" s="694"/>
      <c r="E38" s="693"/>
      <c r="F38" s="693"/>
      <c r="G38" s="693"/>
      <c r="H38" s="693"/>
      <c r="I38" s="693"/>
      <c r="J38" s="693"/>
      <c r="K38" s="694"/>
      <c r="L38" s="694"/>
      <c r="M38" s="694"/>
      <c r="N38" s="694"/>
      <c r="O38" s="694"/>
      <c r="P38" s="598"/>
      <c r="Q38" s="598"/>
      <c r="R38" s="598"/>
      <c r="S38" s="598"/>
      <c r="T38" s="598"/>
      <c r="U38" s="598"/>
      <c r="V38" s="598"/>
    </row>
    <row r="39" spans="1:32" s="45" customFormat="1" ht="12" customHeight="1">
      <c r="A39" s="598"/>
      <c r="B39" s="700"/>
      <c r="C39" s="700"/>
      <c r="D39" s="700"/>
      <c r="E39" s="707"/>
      <c r="F39" s="707"/>
      <c r="G39" s="707"/>
      <c r="H39" s="707"/>
      <c r="I39" s="707"/>
      <c r="J39" s="707"/>
      <c r="K39" s="700"/>
      <c r="L39" s="700"/>
      <c r="M39" s="700"/>
      <c r="N39" s="700"/>
      <c r="O39" s="700"/>
      <c r="P39" s="598"/>
      <c r="Q39" s="598"/>
      <c r="R39" s="598"/>
      <c r="S39" s="598"/>
      <c r="T39" s="598"/>
      <c r="U39" s="598"/>
      <c r="V39" s="598"/>
    </row>
    <row r="40" spans="1:32" s="45" customFormat="1" ht="12" customHeight="1">
      <c r="A40" s="598"/>
      <c r="B40" s="700"/>
      <c r="C40" s="702"/>
      <c r="D40" s="700"/>
      <c r="E40" s="707"/>
      <c r="F40" s="707"/>
      <c r="G40" s="707"/>
      <c r="H40" s="707"/>
      <c r="I40" s="707"/>
      <c r="J40" s="707"/>
      <c r="K40" s="700"/>
      <c r="L40" s="700"/>
      <c r="M40" s="700"/>
      <c r="N40" s="700"/>
      <c r="O40" s="700"/>
      <c r="P40" s="598"/>
      <c r="Q40" s="598"/>
      <c r="R40" s="598"/>
      <c r="S40" s="598"/>
      <c r="T40" s="598"/>
      <c r="U40" s="598"/>
      <c r="V40" s="598"/>
    </row>
    <row r="41" spans="1:32" s="45" customFormat="1" ht="12" customHeight="1">
      <c r="A41" s="598"/>
      <c r="B41" s="598"/>
      <c r="C41" s="605"/>
      <c r="D41" s="598"/>
      <c r="E41" s="633"/>
      <c r="F41" s="633"/>
      <c r="G41" s="633"/>
      <c r="H41" s="633"/>
      <c r="I41" s="633"/>
      <c r="J41" s="633"/>
      <c r="K41" s="598"/>
      <c r="L41" s="598"/>
      <c r="M41" s="598"/>
      <c r="N41" s="598"/>
      <c r="O41" s="598"/>
      <c r="P41" s="598"/>
      <c r="Q41" s="598"/>
      <c r="R41" s="598"/>
      <c r="S41" s="598"/>
      <c r="T41" s="598"/>
      <c r="U41" s="598"/>
      <c r="V41" s="598"/>
    </row>
    <row r="42" spans="1:32" s="45" customFormat="1" ht="12" customHeight="1">
      <c r="A42" s="598"/>
      <c r="B42" s="598"/>
      <c r="C42" s="598"/>
      <c r="D42" s="598"/>
      <c r="E42" s="633"/>
      <c r="F42" s="633"/>
      <c r="G42" s="633"/>
      <c r="H42" s="633"/>
      <c r="I42" s="633"/>
      <c r="J42" s="633"/>
      <c r="K42" s="598"/>
      <c r="L42" s="598"/>
      <c r="M42" s="598"/>
      <c r="N42" s="598"/>
      <c r="O42" s="598"/>
      <c r="P42" s="598"/>
      <c r="Q42" s="598"/>
      <c r="R42" s="598"/>
      <c r="S42" s="598"/>
      <c r="T42" s="598"/>
      <c r="U42" s="598"/>
      <c r="V42" s="598"/>
    </row>
    <row r="43" spans="1:32" s="45" customFormat="1" ht="12" customHeight="1">
      <c r="A43" s="598"/>
      <c r="B43" s="598"/>
      <c r="C43" s="598"/>
      <c r="D43" s="598"/>
      <c r="E43" s="633"/>
      <c r="F43" s="633"/>
      <c r="G43" s="633"/>
      <c r="H43" s="633"/>
      <c r="I43" s="633"/>
      <c r="J43" s="633"/>
      <c r="K43" s="598"/>
      <c r="L43" s="598"/>
      <c r="M43" s="598"/>
      <c r="N43" s="598"/>
      <c r="O43" s="598"/>
      <c r="P43" s="598"/>
      <c r="Q43" s="598"/>
      <c r="R43" s="598"/>
      <c r="S43" s="598"/>
      <c r="T43" s="598"/>
      <c r="U43" s="598"/>
      <c r="V43" s="598"/>
    </row>
    <row r="44" spans="1:32" s="45" customFormat="1" ht="12" customHeight="1">
      <c r="A44" s="598"/>
      <c r="B44" s="598"/>
      <c r="C44" s="598"/>
      <c r="D44" s="598"/>
      <c r="E44" s="633"/>
      <c r="F44" s="633"/>
      <c r="G44" s="633"/>
      <c r="H44" s="633"/>
      <c r="I44" s="633"/>
      <c r="J44" s="633"/>
      <c r="K44" s="598"/>
      <c r="L44" s="598"/>
      <c r="M44" s="598"/>
      <c r="N44" s="598"/>
      <c r="O44" s="598"/>
      <c r="P44" s="598"/>
      <c r="Q44" s="598"/>
      <c r="R44" s="598"/>
      <c r="S44" s="598"/>
      <c r="T44" s="598"/>
      <c r="U44" s="598"/>
      <c r="V44" s="598"/>
    </row>
    <row r="45" spans="1:32" s="45" customFormat="1" ht="12" customHeight="1">
      <c r="A45" s="598"/>
      <c r="B45" s="598"/>
      <c r="C45" s="598"/>
      <c r="D45" s="598"/>
      <c r="E45" s="633"/>
      <c r="F45" s="633"/>
      <c r="G45" s="633"/>
      <c r="H45" s="633"/>
      <c r="I45" s="633"/>
      <c r="J45" s="633"/>
      <c r="K45" s="598"/>
      <c r="L45" s="598"/>
      <c r="M45" s="598"/>
      <c r="N45" s="598"/>
      <c r="O45" s="598"/>
      <c r="P45" s="598"/>
      <c r="Q45" s="598"/>
      <c r="R45" s="598"/>
      <c r="S45" s="598"/>
      <c r="T45" s="598"/>
      <c r="U45" s="598"/>
      <c r="V45" s="598"/>
    </row>
    <row r="46" spans="1:32" s="45" customFormat="1" ht="12" customHeight="1">
      <c r="A46" s="598"/>
      <c r="B46" s="598"/>
      <c r="C46" s="598"/>
      <c r="D46" s="598"/>
      <c r="E46" s="633"/>
      <c r="F46" s="633"/>
      <c r="G46" s="633"/>
      <c r="H46" s="633"/>
      <c r="I46" s="633"/>
      <c r="J46" s="633"/>
      <c r="K46" s="598"/>
      <c r="L46" s="598"/>
      <c r="M46" s="598"/>
      <c r="N46" s="598"/>
      <c r="O46" s="598"/>
      <c r="P46" s="598"/>
      <c r="Q46" s="598"/>
      <c r="R46" s="598"/>
      <c r="S46" s="598"/>
      <c r="T46" s="598"/>
      <c r="U46" s="598"/>
      <c r="V46" s="598"/>
    </row>
    <row r="47" spans="1:32">
      <c r="A47" s="589"/>
      <c r="B47" s="589"/>
      <c r="C47" s="589"/>
      <c r="D47" s="589"/>
      <c r="E47" s="641"/>
      <c r="F47" s="641"/>
      <c r="G47" s="641"/>
      <c r="H47" s="641"/>
      <c r="I47" s="641"/>
      <c r="J47" s="641"/>
      <c r="K47" s="589"/>
      <c r="L47" s="589"/>
      <c r="M47" s="589"/>
      <c r="N47" s="589"/>
      <c r="O47" s="589"/>
      <c r="P47" s="589"/>
      <c r="Q47" s="589"/>
      <c r="R47" s="589"/>
      <c r="S47" s="589"/>
      <c r="T47" s="589"/>
      <c r="U47" s="589"/>
      <c r="V47" s="589"/>
    </row>
    <row r="48" spans="1:32">
      <c r="A48" s="589"/>
      <c r="B48" s="589"/>
      <c r="C48" s="589"/>
      <c r="D48" s="589"/>
      <c r="E48" s="641"/>
      <c r="F48" s="641"/>
      <c r="G48" s="641"/>
      <c r="H48" s="641"/>
      <c r="I48" s="641"/>
      <c r="J48" s="641"/>
      <c r="K48" s="589"/>
      <c r="L48" s="589"/>
      <c r="M48" s="589"/>
      <c r="N48" s="589"/>
      <c r="O48" s="589"/>
      <c r="P48" s="589"/>
      <c r="Q48" s="589"/>
      <c r="R48" s="589"/>
      <c r="S48" s="589"/>
      <c r="T48" s="589"/>
      <c r="U48" s="589"/>
      <c r="V48" s="589"/>
    </row>
    <row r="49" spans="1:22">
      <c r="A49" s="589"/>
      <c r="B49" s="589"/>
      <c r="C49" s="589"/>
      <c r="D49" s="589"/>
      <c r="E49" s="641"/>
      <c r="F49" s="641"/>
      <c r="G49" s="641"/>
      <c r="H49" s="641"/>
      <c r="I49" s="641"/>
      <c r="J49" s="641"/>
      <c r="K49" s="589"/>
      <c r="L49" s="589"/>
      <c r="M49" s="589"/>
      <c r="N49" s="589"/>
      <c r="O49" s="589"/>
      <c r="P49" s="589"/>
      <c r="Q49" s="589"/>
      <c r="R49" s="589"/>
      <c r="S49" s="589"/>
      <c r="T49" s="589"/>
      <c r="U49" s="589"/>
      <c r="V49" s="589"/>
    </row>
    <row r="50" spans="1:22">
      <c r="A50" s="589"/>
      <c r="B50" s="589"/>
      <c r="C50" s="589"/>
      <c r="D50" s="589"/>
      <c r="E50" s="641"/>
      <c r="F50" s="641"/>
      <c r="G50" s="641"/>
      <c r="H50" s="641"/>
      <c r="I50" s="641"/>
      <c r="J50" s="641"/>
      <c r="K50" s="589"/>
      <c r="L50" s="589"/>
      <c r="M50" s="589"/>
      <c r="N50" s="589"/>
      <c r="O50" s="589"/>
      <c r="P50" s="589"/>
      <c r="Q50" s="589"/>
      <c r="R50" s="589"/>
      <c r="S50" s="589"/>
      <c r="T50" s="589"/>
      <c r="U50" s="589"/>
      <c r="V50" s="589"/>
    </row>
    <row r="51" spans="1:22" s="20" customFormat="1">
      <c r="A51" s="645"/>
      <c r="B51" s="645"/>
      <c r="C51" s="645"/>
      <c r="D51" s="645"/>
      <c r="E51" s="651"/>
      <c r="F51" s="651"/>
      <c r="G51" s="651"/>
      <c r="H51" s="651"/>
      <c r="I51" s="651"/>
      <c r="J51" s="651"/>
      <c r="K51" s="645"/>
      <c r="L51" s="645"/>
      <c r="M51" s="645"/>
      <c r="N51" s="645"/>
      <c r="O51" s="645"/>
      <c r="P51" s="645"/>
      <c r="Q51" s="645"/>
      <c r="R51" s="645"/>
      <c r="S51" s="645"/>
      <c r="T51" s="645"/>
      <c r="U51" s="645"/>
      <c r="V51" s="645"/>
    </row>
    <row r="52" spans="1:22" s="20" customFormat="1">
      <c r="A52" s="645"/>
      <c r="B52" s="645"/>
      <c r="C52" s="645"/>
      <c r="D52" s="645"/>
      <c r="E52" s="651"/>
      <c r="F52" s="651"/>
      <c r="G52" s="651"/>
      <c r="H52" s="651"/>
      <c r="I52" s="651"/>
      <c r="J52" s="651"/>
      <c r="K52" s="645"/>
      <c r="L52" s="645"/>
      <c r="M52" s="645"/>
      <c r="N52" s="645"/>
      <c r="O52" s="645"/>
      <c r="P52" s="645"/>
      <c r="Q52" s="645"/>
      <c r="R52" s="645"/>
      <c r="S52" s="645"/>
      <c r="T52" s="645"/>
      <c r="U52" s="645"/>
      <c r="V52" s="645"/>
    </row>
    <row r="53" spans="1:22" s="20" customFormat="1">
      <c r="A53" s="645"/>
      <c r="B53" s="645"/>
      <c r="C53" s="645"/>
      <c r="D53" s="645"/>
      <c r="E53" s="651"/>
      <c r="F53" s="651"/>
      <c r="G53" s="651"/>
      <c r="H53" s="651"/>
      <c r="I53" s="651"/>
      <c r="J53" s="651"/>
      <c r="K53" s="645"/>
      <c r="L53" s="645"/>
      <c r="M53" s="645"/>
      <c r="N53" s="645"/>
      <c r="O53" s="645"/>
      <c r="P53" s="645"/>
      <c r="Q53" s="645"/>
      <c r="R53" s="645"/>
      <c r="S53" s="645"/>
      <c r="T53" s="645"/>
      <c r="U53" s="645"/>
      <c r="V53" s="645"/>
    </row>
    <row r="54" spans="1:22" s="20" customFormat="1">
      <c r="A54" s="645"/>
      <c r="B54" s="645"/>
      <c r="C54" s="645"/>
      <c r="D54" s="645"/>
      <c r="E54" s="651"/>
      <c r="F54" s="651"/>
      <c r="G54" s="651"/>
      <c r="H54" s="651"/>
      <c r="I54" s="651"/>
      <c r="J54" s="651"/>
      <c r="K54" s="645"/>
      <c r="L54" s="645"/>
      <c r="M54" s="645"/>
      <c r="N54" s="645"/>
      <c r="O54" s="645"/>
      <c r="P54" s="645"/>
      <c r="Q54" s="645"/>
      <c r="R54" s="645"/>
      <c r="S54" s="645"/>
      <c r="T54" s="645"/>
      <c r="U54" s="645"/>
      <c r="V54" s="645"/>
    </row>
    <row r="55" spans="1:22" s="20" customFormat="1">
      <c r="A55" s="645"/>
      <c r="B55" s="645"/>
      <c r="C55" s="645"/>
      <c r="D55" s="645"/>
      <c r="E55" s="651"/>
      <c r="F55" s="651"/>
      <c r="G55" s="651"/>
      <c r="H55" s="651"/>
      <c r="I55" s="651"/>
      <c r="J55" s="651"/>
      <c r="K55" s="645"/>
      <c r="L55" s="645"/>
      <c r="M55" s="645"/>
      <c r="N55" s="645"/>
      <c r="O55" s="645"/>
      <c r="P55" s="645"/>
      <c r="Q55" s="645"/>
      <c r="R55" s="645"/>
      <c r="S55" s="645"/>
      <c r="T55" s="645"/>
      <c r="U55" s="645"/>
      <c r="V55" s="645"/>
    </row>
    <row r="56" spans="1:22" s="20" customFormat="1">
      <c r="A56" s="645"/>
      <c r="B56" s="645"/>
      <c r="C56" s="645"/>
      <c r="D56" s="645"/>
      <c r="E56" s="651"/>
      <c r="F56" s="651"/>
      <c r="G56" s="651"/>
      <c r="H56" s="651"/>
      <c r="I56" s="651"/>
      <c r="J56" s="651"/>
      <c r="K56" s="645"/>
      <c r="L56" s="645"/>
      <c r="M56" s="645"/>
      <c r="N56" s="645"/>
      <c r="O56" s="645"/>
      <c r="P56" s="645"/>
      <c r="Q56" s="645"/>
      <c r="R56" s="645"/>
      <c r="S56" s="645"/>
      <c r="T56" s="645"/>
      <c r="U56" s="645"/>
      <c r="V56" s="645"/>
    </row>
    <row r="57" spans="1:22" s="20" customFormat="1">
      <c r="A57" s="645"/>
      <c r="B57" s="645"/>
      <c r="C57" s="645"/>
      <c r="D57" s="645"/>
      <c r="E57" s="651"/>
      <c r="F57" s="651"/>
      <c r="G57" s="651"/>
      <c r="H57" s="651"/>
      <c r="I57" s="651"/>
      <c r="J57" s="651"/>
      <c r="K57" s="645"/>
      <c r="L57" s="645"/>
      <c r="M57" s="645"/>
      <c r="N57" s="645"/>
      <c r="O57" s="645"/>
      <c r="P57" s="645"/>
      <c r="Q57" s="645"/>
      <c r="R57" s="645"/>
      <c r="S57" s="645"/>
      <c r="T57" s="645"/>
      <c r="U57" s="645"/>
      <c r="V57" s="645"/>
    </row>
    <row r="58" spans="1:22" s="20" customFormat="1">
      <c r="A58" s="645"/>
      <c r="B58" s="645"/>
      <c r="C58" s="645"/>
      <c r="D58" s="645"/>
      <c r="E58" s="651"/>
      <c r="F58" s="651"/>
      <c r="G58" s="651"/>
      <c r="H58" s="651"/>
      <c r="I58" s="651"/>
      <c r="J58" s="651"/>
      <c r="K58" s="645"/>
      <c r="L58" s="645"/>
      <c r="M58" s="645"/>
      <c r="N58" s="645"/>
      <c r="O58" s="645"/>
      <c r="P58" s="645"/>
      <c r="Q58" s="645"/>
      <c r="R58" s="645"/>
      <c r="S58" s="645"/>
      <c r="T58" s="645"/>
      <c r="U58" s="645"/>
      <c r="V58" s="645"/>
    </row>
    <row r="59" spans="1:22" s="20" customFormat="1">
      <c r="A59" s="645"/>
      <c r="B59" s="645"/>
      <c r="C59" s="645"/>
      <c r="D59" s="645"/>
      <c r="E59" s="651"/>
      <c r="F59" s="651"/>
      <c r="G59" s="651"/>
      <c r="H59" s="651"/>
      <c r="I59" s="651"/>
      <c r="J59" s="651"/>
      <c r="K59" s="645"/>
      <c r="L59" s="645"/>
      <c r="M59" s="645"/>
      <c r="N59" s="645"/>
      <c r="O59" s="645"/>
      <c r="P59" s="645"/>
      <c r="Q59" s="645"/>
      <c r="R59" s="645"/>
      <c r="S59" s="645"/>
      <c r="T59" s="645"/>
      <c r="U59" s="645"/>
      <c r="V59" s="645"/>
    </row>
    <row r="60" spans="1:22" s="20" customFormat="1">
      <c r="A60" s="645"/>
      <c r="B60" s="645"/>
      <c r="C60" s="645"/>
      <c r="D60" s="645"/>
      <c r="E60" s="651"/>
      <c r="F60" s="651"/>
      <c r="G60" s="651"/>
      <c r="H60" s="651"/>
      <c r="I60" s="651"/>
      <c r="J60" s="651"/>
      <c r="K60" s="645"/>
      <c r="L60" s="645"/>
      <c r="M60" s="645"/>
      <c r="N60" s="645"/>
      <c r="O60" s="645"/>
      <c r="P60" s="645"/>
      <c r="Q60" s="645"/>
      <c r="R60" s="645"/>
      <c r="S60" s="645"/>
      <c r="T60" s="645"/>
      <c r="U60" s="645"/>
      <c r="V60" s="645"/>
    </row>
    <row r="61" spans="1:22" s="20" customFormat="1">
      <c r="A61" s="645"/>
      <c r="B61" s="645"/>
      <c r="C61" s="645"/>
      <c r="D61" s="645"/>
      <c r="E61" s="651"/>
      <c r="F61" s="651"/>
      <c r="G61" s="651"/>
      <c r="H61" s="651"/>
      <c r="I61" s="651"/>
      <c r="J61" s="651"/>
      <c r="K61" s="645"/>
      <c r="L61" s="645"/>
      <c r="M61" s="645"/>
      <c r="N61" s="645"/>
      <c r="O61" s="645"/>
      <c r="P61" s="645"/>
      <c r="Q61" s="645"/>
      <c r="R61" s="645"/>
      <c r="S61" s="645"/>
      <c r="T61" s="645"/>
      <c r="U61" s="645"/>
      <c r="V61" s="645"/>
    </row>
    <row r="62" spans="1:22" s="20" customFormat="1">
      <c r="A62" s="645"/>
      <c r="B62" s="645"/>
      <c r="C62" s="645"/>
      <c r="D62" s="645"/>
      <c r="E62" s="651"/>
      <c r="F62" s="651"/>
      <c r="G62" s="651"/>
      <c r="H62" s="651"/>
      <c r="I62" s="651"/>
      <c r="J62" s="651"/>
      <c r="K62" s="645"/>
      <c r="L62" s="645"/>
      <c r="M62" s="645"/>
      <c r="N62" s="645"/>
      <c r="O62" s="645"/>
      <c r="P62" s="645"/>
      <c r="Q62" s="645"/>
      <c r="R62" s="645"/>
      <c r="S62" s="645"/>
      <c r="T62" s="645"/>
      <c r="U62" s="645"/>
      <c r="V62" s="645"/>
    </row>
    <row r="63" spans="1:22" s="20" customFormat="1">
      <c r="A63" s="645"/>
      <c r="B63" s="645"/>
      <c r="C63" s="645"/>
      <c r="D63" s="645"/>
      <c r="E63" s="651"/>
      <c r="F63" s="651"/>
      <c r="G63" s="651"/>
      <c r="H63" s="651"/>
      <c r="I63" s="651"/>
      <c r="J63" s="651"/>
      <c r="K63" s="645"/>
      <c r="L63" s="645"/>
      <c r="M63" s="645"/>
      <c r="N63" s="645"/>
      <c r="O63" s="645"/>
      <c r="P63" s="645"/>
      <c r="Q63" s="645"/>
      <c r="R63" s="645"/>
      <c r="S63" s="645"/>
      <c r="T63" s="645"/>
      <c r="U63" s="645"/>
      <c r="V63" s="645"/>
    </row>
    <row r="64" spans="1:22" s="20" customFormat="1">
      <c r="A64" s="645"/>
      <c r="B64" s="645"/>
      <c r="C64" s="645"/>
      <c r="D64" s="645"/>
      <c r="E64" s="651"/>
      <c r="F64" s="651"/>
      <c r="G64" s="651"/>
      <c r="H64" s="651"/>
      <c r="I64" s="651"/>
      <c r="J64" s="651"/>
      <c r="K64" s="645"/>
      <c r="L64" s="645"/>
      <c r="M64" s="645"/>
      <c r="N64" s="645"/>
      <c r="O64" s="645"/>
      <c r="P64" s="645"/>
      <c r="Q64" s="645"/>
      <c r="R64" s="645"/>
      <c r="S64" s="645"/>
      <c r="T64" s="645"/>
      <c r="U64" s="645"/>
      <c r="V64" s="645"/>
    </row>
    <row r="65" spans="1:22" s="20" customFormat="1">
      <c r="A65" s="645"/>
      <c r="B65" s="645"/>
      <c r="C65" s="645"/>
      <c r="D65" s="645"/>
      <c r="E65" s="651"/>
      <c r="F65" s="651"/>
      <c r="G65" s="651"/>
      <c r="H65" s="651"/>
      <c r="I65" s="651"/>
      <c r="J65" s="651"/>
      <c r="K65" s="645"/>
      <c r="L65" s="645"/>
      <c r="M65" s="645"/>
      <c r="N65" s="645"/>
      <c r="O65" s="645"/>
      <c r="P65" s="645"/>
      <c r="Q65" s="645"/>
      <c r="R65" s="645"/>
      <c r="S65" s="645"/>
      <c r="T65" s="645"/>
      <c r="U65" s="645"/>
      <c r="V65" s="645"/>
    </row>
    <row r="66" spans="1:22" s="20" customFormat="1">
      <c r="E66" s="51"/>
      <c r="F66" s="51"/>
      <c r="G66" s="51"/>
      <c r="H66" s="51"/>
      <c r="I66" s="51"/>
      <c r="J66" s="51"/>
    </row>
    <row r="67" spans="1:22" s="20" customFormat="1">
      <c r="E67" s="51"/>
      <c r="F67" s="51"/>
      <c r="G67" s="51"/>
      <c r="H67" s="51"/>
      <c r="I67" s="51"/>
      <c r="J67" s="51"/>
    </row>
    <row r="68" spans="1:22" s="20" customFormat="1">
      <c r="E68" s="51"/>
      <c r="F68" s="51"/>
      <c r="G68" s="51"/>
      <c r="H68" s="51"/>
      <c r="I68" s="51"/>
      <c r="J68" s="51"/>
    </row>
    <row r="69" spans="1:22" s="20" customFormat="1">
      <c r="E69" s="51"/>
      <c r="F69" s="51"/>
      <c r="G69" s="51"/>
      <c r="H69" s="51"/>
      <c r="I69" s="51"/>
      <c r="J69" s="51"/>
    </row>
    <row r="70" spans="1:22" s="20" customFormat="1">
      <c r="E70" s="51"/>
      <c r="F70" s="51"/>
      <c r="G70" s="51"/>
      <c r="H70" s="51"/>
      <c r="I70" s="51"/>
      <c r="J70" s="51"/>
    </row>
    <row r="114" spans="4:17">
      <c r="D114" s="27"/>
      <c r="E114" s="44"/>
      <c r="F114" s="44"/>
      <c r="G114" s="44"/>
      <c r="H114" s="44"/>
      <c r="I114" s="44"/>
      <c r="J114" s="44"/>
      <c r="K114" s="27"/>
      <c r="L114" s="27"/>
      <c r="M114" s="27"/>
      <c r="N114" s="27"/>
      <c r="O114" s="27"/>
      <c r="P114" s="27"/>
      <c r="Q114" s="27"/>
    </row>
    <row r="181" spans="8:24">
      <c r="H181" s="52"/>
      <c r="K181" s="28"/>
    </row>
    <row r="182" spans="8:24">
      <c r="H182" s="53"/>
      <c r="K182" s="28"/>
    </row>
    <row r="183" spans="8:24">
      <c r="H183" s="52"/>
    </row>
    <row r="184" spans="8:24">
      <c r="H184" s="52"/>
      <c r="U184" s="26" t="s">
        <v>1848</v>
      </c>
      <c r="V184" s="26" t="s">
        <v>1849</v>
      </c>
      <c r="W184" s="26" t="s">
        <v>1850</v>
      </c>
      <c r="X184" s="26" t="s">
        <v>1851</v>
      </c>
    </row>
    <row r="185" spans="8:24">
      <c r="H185" s="52"/>
      <c r="U185" s="29" t="e">
        <f>#REF!</f>
        <v>#REF!</v>
      </c>
      <c r="V185" s="29" t="e">
        <f>#REF!</f>
        <v>#REF!</v>
      </c>
      <c r="W185" s="29" t="e">
        <f>#REF!</f>
        <v>#REF!</v>
      </c>
      <c r="X185" s="29" t="e">
        <f>#REF!</f>
        <v>#REF!</v>
      </c>
    </row>
    <row r="186" spans="8:24">
      <c r="H186" s="52"/>
    </row>
    <row r="189" spans="8:24">
      <c r="U189" s="30" t="e">
        <f>-#REF!</f>
        <v>#REF!</v>
      </c>
      <c r="V189" s="30" t="e">
        <f>-#REF!</f>
        <v>#REF!</v>
      </c>
      <c r="W189" s="30" t="e">
        <f>-#REF!</f>
        <v>#REF!</v>
      </c>
      <c r="X189" s="30" t="e">
        <f>-#REF!</f>
        <v>#REF!</v>
      </c>
    </row>
    <row r="190" spans="8:24">
      <c r="U190" s="30" t="e">
        <f>-#REF!</f>
        <v>#REF!</v>
      </c>
      <c r="V190" s="30" t="e">
        <f>-#REF!</f>
        <v>#REF!</v>
      </c>
      <c r="W190" s="30" t="e">
        <f>-#REF!</f>
        <v>#REF!</v>
      </c>
      <c r="X190" s="30" t="e">
        <f>-#REF!</f>
        <v>#REF!</v>
      </c>
    </row>
    <row r="191" spans="8:24">
      <c r="U191" s="30"/>
      <c r="V191" s="30"/>
      <c r="W191" s="30"/>
      <c r="X191" s="30" t="e">
        <f>-#REF!</f>
        <v>#REF!</v>
      </c>
    </row>
    <row r="192" spans="8:24">
      <c r="U192" s="24"/>
      <c r="V192" s="24"/>
      <c r="W192" s="24"/>
      <c r="X192" s="24"/>
    </row>
    <row r="193" spans="21:24">
      <c r="U193" s="30" t="e">
        <f>SUM(U187:U191)</f>
        <v>#REF!</v>
      </c>
      <c r="V193" s="30" t="e">
        <f>SUM(V187:V191)</f>
        <v>#REF!</v>
      </c>
      <c r="W193" s="30" t="e">
        <f>SUM(W187:W191)</f>
        <v>#REF!</v>
      </c>
      <c r="X193" s="30" t="e">
        <f>SUM(X187:X191)</f>
        <v>#REF!</v>
      </c>
    </row>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spans="21:24" hidden="1"/>
    <row r="322" spans="21:24" hidden="1"/>
    <row r="323" spans="21:24" hidden="1"/>
    <row r="324" spans="21:24" hidden="1"/>
    <row r="325" spans="21:24" hidden="1"/>
    <row r="326" spans="21:24" hidden="1"/>
    <row r="327" spans="21:24" hidden="1"/>
    <row r="328" spans="21:24" hidden="1">
      <c r="U328" s="26" t="s">
        <v>1848</v>
      </c>
      <c r="V328" s="26" t="s">
        <v>1849</v>
      </c>
      <c r="W328" s="26" t="s">
        <v>1850</v>
      </c>
      <c r="X328" s="26" t="s">
        <v>1851</v>
      </c>
    </row>
    <row r="329" spans="21:24" hidden="1">
      <c r="U329" s="29" t="e">
        <f>#REF!</f>
        <v>#REF!</v>
      </c>
      <c r="V329" s="29" t="e">
        <f>#REF!</f>
        <v>#REF!</v>
      </c>
      <c r="W329" s="29" t="e">
        <f>#REF!</f>
        <v>#REF!</v>
      </c>
      <c r="X329" s="29" t="e">
        <f>#REF!</f>
        <v>#REF!</v>
      </c>
    </row>
    <row r="330" spans="21:24" hidden="1"/>
    <row r="331" spans="21:24" hidden="1"/>
    <row r="332" spans="21:24" hidden="1"/>
    <row r="333" spans="21:24" hidden="1">
      <c r="U333" s="30" t="e">
        <f>-#REF!</f>
        <v>#REF!</v>
      </c>
      <c r="V333" s="30" t="e">
        <f>-#REF!</f>
        <v>#REF!</v>
      </c>
      <c r="W333" s="30" t="e">
        <f>-#REF!</f>
        <v>#REF!</v>
      </c>
      <c r="X333" s="30" t="e">
        <f>-#REF!</f>
        <v>#REF!</v>
      </c>
    </row>
    <row r="334" spans="21:24" hidden="1">
      <c r="U334" s="30" t="e">
        <f>-#REF!</f>
        <v>#REF!</v>
      </c>
      <c r="V334" s="30" t="e">
        <f>-#REF!</f>
        <v>#REF!</v>
      </c>
      <c r="W334" s="30" t="e">
        <f>-#REF!</f>
        <v>#REF!</v>
      </c>
      <c r="X334" s="30" t="e">
        <f>-#REF!</f>
        <v>#REF!</v>
      </c>
    </row>
    <row r="335" spans="21:24" hidden="1">
      <c r="U335" s="30"/>
      <c r="V335" s="30"/>
      <c r="W335" s="30"/>
      <c r="X335" s="30" t="e">
        <f>-#REF!</f>
        <v>#REF!</v>
      </c>
    </row>
    <row r="336" spans="21:24">
      <c r="U336" s="24"/>
      <c r="V336" s="24"/>
      <c r="W336" s="24"/>
      <c r="X336" s="24"/>
    </row>
    <row r="337" spans="21:24">
      <c r="U337" s="30" t="e">
        <f>SUM(U331:U335)</f>
        <v>#REF!</v>
      </c>
      <c r="V337" s="30" t="e">
        <f>SUM(V331:V335)</f>
        <v>#REF!</v>
      </c>
      <c r="W337" s="30" t="e">
        <f>SUM(W331:W335)</f>
        <v>#REF!</v>
      </c>
      <c r="X337" s="30" t="e">
        <f>SUM(X331:X335)</f>
        <v>#REF!</v>
      </c>
    </row>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spans="21:24" hidden="1"/>
    <row r="466" spans="21:24" hidden="1"/>
    <row r="467" spans="21:24" hidden="1"/>
    <row r="468" spans="21:24" hidden="1"/>
    <row r="469" spans="21:24" hidden="1"/>
    <row r="470" spans="21:24" hidden="1"/>
    <row r="471" spans="21:24" hidden="1"/>
    <row r="472" spans="21:24" hidden="1">
      <c r="U472" s="26" t="s">
        <v>1848</v>
      </c>
      <c r="V472" s="26" t="s">
        <v>1849</v>
      </c>
      <c r="W472" s="26" t="s">
        <v>1850</v>
      </c>
      <c r="X472" s="26" t="s">
        <v>1851</v>
      </c>
    </row>
    <row r="473" spans="21:24" hidden="1">
      <c r="U473" s="29" t="e">
        <f>#REF!</f>
        <v>#REF!</v>
      </c>
      <c r="V473" s="29" t="e">
        <f>#REF!</f>
        <v>#REF!</v>
      </c>
      <c r="W473" s="29" t="e">
        <f>#REF!</f>
        <v>#REF!</v>
      </c>
      <c r="X473" s="29" t="e">
        <f>#REF!</f>
        <v>#REF!</v>
      </c>
    </row>
    <row r="474" spans="21:24" hidden="1"/>
    <row r="475" spans="21:24" hidden="1"/>
    <row r="476" spans="21:24" hidden="1"/>
    <row r="477" spans="21:24" hidden="1">
      <c r="U477" s="30" t="e">
        <f>-#REF!</f>
        <v>#REF!</v>
      </c>
      <c r="V477" s="30" t="e">
        <f>-#REF!</f>
        <v>#REF!</v>
      </c>
      <c r="W477" s="30" t="e">
        <f>-#REF!</f>
        <v>#REF!</v>
      </c>
      <c r="X477" s="30" t="e">
        <f>-#REF!</f>
        <v>#REF!</v>
      </c>
    </row>
    <row r="478" spans="21:24" hidden="1">
      <c r="U478" s="30" t="e">
        <f>-#REF!</f>
        <v>#REF!</v>
      </c>
      <c r="V478" s="30" t="e">
        <f>-#REF!</f>
        <v>#REF!</v>
      </c>
      <c r="W478" s="30" t="e">
        <f>-#REF!</f>
        <v>#REF!</v>
      </c>
      <c r="X478" s="30" t="e">
        <f>-#REF!</f>
        <v>#REF!</v>
      </c>
    </row>
    <row r="479" spans="21:24" hidden="1">
      <c r="U479" s="30"/>
      <c r="V479" s="30"/>
      <c r="W479" s="30"/>
      <c r="X479" s="30" t="e">
        <f>-#REF!</f>
        <v>#REF!</v>
      </c>
    </row>
    <row r="480" spans="21:24">
      <c r="U480" s="24"/>
      <c r="V480" s="24"/>
      <c r="W480" s="24"/>
      <c r="X480" s="24"/>
    </row>
    <row r="481" spans="21:24">
      <c r="U481" s="30" t="e">
        <f>SUM(U475:U479)</f>
        <v>#REF!</v>
      </c>
      <c r="V481" s="30" t="e">
        <f>SUM(V475:V479)</f>
        <v>#REF!</v>
      </c>
      <c r="W481" s="30" t="e">
        <f>SUM(W475:W479)</f>
        <v>#REF!</v>
      </c>
      <c r="X481" s="30" t="e">
        <f>SUM(X475:X479)</f>
        <v>#REF!</v>
      </c>
    </row>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spans="21:24" hidden="1"/>
    <row r="610" spans="21:24" hidden="1"/>
    <row r="611" spans="21:24" hidden="1"/>
    <row r="612" spans="21:24" hidden="1"/>
    <row r="613" spans="21:24" hidden="1"/>
    <row r="614" spans="21:24" hidden="1"/>
    <row r="615" spans="21:24" hidden="1"/>
    <row r="616" spans="21:24" hidden="1">
      <c r="U616" s="26" t="s">
        <v>1848</v>
      </c>
      <c r="V616" s="26" t="s">
        <v>1849</v>
      </c>
      <c r="W616" s="26" t="s">
        <v>1850</v>
      </c>
      <c r="X616" s="26" t="s">
        <v>1851</v>
      </c>
    </row>
    <row r="617" spans="21:24" hidden="1">
      <c r="U617" s="29" t="e">
        <f>#REF!</f>
        <v>#REF!</v>
      </c>
      <c r="V617" s="29" t="e">
        <f>#REF!</f>
        <v>#REF!</v>
      </c>
      <c r="W617" s="29" t="e">
        <f>#REF!</f>
        <v>#REF!</v>
      </c>
      <c r="X617" s="29" t="e">
        <f>#REF!</f>
        <v>#REF!</v>
      </c>
    </row>
    <row r="618" spans="21:24" hidden="1"/>
    <row r="619" spans="21:24" hidden="1"/>
    <row r="620" spans="21:24" hidden="1"/>
    <row r="621" spans="21:24" hidden="1">
      <c r="U621" s="30" t="e">
        <f>-#REF!</f>
        <v>#REF!</v>
      </c>
      <c r="V621" s="30" t="e">
        <f>-#REF!</f>
        <v>#REF!</v>
      </c>
      <c r="W621" s="30" t="e">
        <f>-#REF!</f>
        <v>#REF!</v>
      </c>
      <c r="X621" s="30" t="e">
        <f>-#REF!</f>
        <v>#REF!</v>
      </c>
    </row>
    <row r="622" spans="21:24" hidden="1">
      <c r="U622" s="30" t="e">
        <f>-#REF!</f>
        <v>#REF!</v>
      </c>
      <c r="V622" s="30" t="e">
        <f>-#REF!</f>
        <v>#REF!</v>
      </c>
      <c r="W622" s="30" t="e">
        <f>-#REF!</f>
        <v>#REF!</v>
      </c>
      <c r="X622" s="30" t="e">
        <f>-#REF!</f>
        <v>#REF!</v>
      </c>
    </row>
    <row r="623" spans="21:24" hidden="1">
      <c r="U623" s="30"/>
      <c r="V623" s="30"/>
      <c r="W623" s="30"/>
      <c r="X623" s="30" t="e">
        <f>-#REF!</f>
        <v>#REF!</v>
      </c>
    </row>
    <row r="624" spans="21:24">
      <c r="U624" s="24"/>
      <c r="V624" s="24"/>
      <c r="W624" s="24"/>
      <c r="X624" s="24"/>
    </row>
    <row r="625" spans="21:24">
      <c r="U625" s="30" t="e">
        <f>SUM(U619:U623)</f>
        <v>#REF!</v>
      </c>
      <c r="V625" s="30" t="e">
        <f>SUM(V619:V623)</f>
        <v>#REF!</v>
      </c>
      <c r="W625" s="30" t="e">
        <f>SUM(W619:W623)</f>
        <v>#REF!</v>
      </c>
      <c r="X625" s="30" t="e">
        <f>SUM(X619:X623)</f>
        <v>#REF!</v>
      </c>
    </row>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spans="21:24" hidden="1"/>
    <row r="754" spans="21:24" hidden="1"/>
    <row r="755" spans="21:24" hidden="1"/>
    <row r="756" spans="21:24" hidden="1"/>
    <row r="757" spans="21:24" hidden="1"/>
    <row r="758" spans="21:24" hidden="1"/>
    <row r="759" spans="21:24" hidden="1"/>
    <row r="760" spans="21:24" hidden="1">
      <c r="U760" s="26" t="s">
        <v>1848</v>
      </c>
      <c r="V760" s="26" t="s">
        <v>1849</v>
      </c>
      <c r="W760" s="26" t="s">
        <v>1850</v>
      </c>
      <c r="X760" s="26" t="s">
        <v>1851</v>
      </c>
    </row>
    <row r="761" spans="21:24" hidden="1">
      <c r="U761" s="29" t="e">
        <f>#REF!</f>
        <v>#REF!</v>
      </c>
      <c r="V761" s="29" t="e">
        <f>#REF!</f>
        <v>#REF!</v>
      </c>
      <c r="W761" s="29" t="e">
        <f>#REF!</f>
        <v>#REF!</v>
      </c>
      <c r="X761" s="29" t="e">
        <f>#REF!</f>
        <v>#REF!</v>
      </c>
    </row>
    <row r="762" spans="21:24" hidden="1"/>
    <row r="763" spans="21:24" hidden="1"/>
    <row r="764" spans="21:24" hidden="1"/>
    <row r="765" spans="21:24" hidden="1">
      <c r="U765" s="30" t="e">
        <f>-#REF!</f>
        <v>#REF!</v>
      </c>
      <c r="V765" s="30" t="e">
        <f>-#REF!</f>
        <v>#REF!</v>
      </c>
      <c r="W765" s="30" t="e">
        <f>-#REF!</f>
        <v>#REF!</v>
      </c>
      <c r="X765" s="30" t="e">
        <f>-#REF!</f>
        <v>#REF!</v>
      </c>
    </row>
    <row r="766" spans="21:24" hidden="1">
      <c r="U766" s="30" t="e">
        <f>-#REF!</f>
        <v>#REF!</v>
      </c>
      <c r="V766" s="30" t="e">
        <f>-#REF!</f>
        <v>#REF!</v>
      </c>
      <c r="W766" s="30" t="e">
        <f>-#REF!</f>
        <v>#REF!</v>
      </c>
      <c r="X766" s="30" t="e">
        <f>-#REF!</f>
        <v>#REF!</v>
      </c>
    </row>
    <row r="767" spans="21:24" hidden="1">
      <c r="U767" s="30"/>
      <c r="V767" s="30"/>
      <c r="W767" s="30"/>
      <c r="X767" s="30" t="e">
        <f>-#REF!</f>
        <v>#REF!</v>
      </c>
    </row>
    <row r="768" spans="21:24">
      <c r="U768" s="24"/>
      <c r="V768" s="24"/>
      <c r="W768" s="24"/>
      <c r="X768" s="24"/>
    </row>
    <row r="769" spans="21:24">
      <c r="U769" s="30" t="e">
        <f>SUM(U763:U767)</f>
        <v>#REF!</v>
      </c>
      <c r="V769" s="30" t="e">
        <f>SUM(V763:V767)</f>
        <v>#REF!</v>
      </c>
      <c r="W769" s="30" t="e">
        <f>SUM(W763:W767)</f>
        <v>#REF!</v>
      </c>
      <c r="X769" s="30" t="e">
        <f>SUM(X763:X767)</f>
        <v>#REF!</v>
      </c>
    </row>
    <row r="904" spans="21:24">
      <c r="U904" s="26" t="s">
        <v>1848</v>
      </c>
      <c r="V904" s="26" t="s">
        <v>1849</v>
      </c>
      <c r="W904" s="26" t="s">
        <v>1850</v>
      </c>
      <c r="X904" s="26" t="s">
        <v>1851</v>
      </c>
    </row>
    <row r="905" spans="21:24">
      <c r="U905" s="29" t="e">
        <f>#REF!</f>
        <v>#REF!</v>
      </c>
      <c r="V905" s="29" t="e">
        <f>#REF!</f>
        <v>#REF!</v>
      </c>
      <c r="W905" s="29" t="e">
        <f>#REF!</f>
        <v>#REF!</v>
      </c>
      <c r="X905" s="29" t="e">
        <f>#REF!</f>
        <v>#REF!</v>
      </c>
    </row>
    <row r="909" spans="21:24">
      <c r="U909" s="30" t="e">
        <f>-#REF!</f>
        <v>#REF!</v>
      </c>
      <c r="V909" s="30" t="e">
        <f>-#REF!</f>
        <v>#REF!</v>
      </c>
      <c r="W909" s="30" t="e">
        <f>-#REF!</f>
        <v>#REF!</v>
      </c>
      <c r="X909" s="30" t="e">
        <f>-#REF!</f>
        <v>#REF!</v>
      </c>
    </row>
    <row r="910" spans="21:24">
      <c r="U910" s="30" t="e">
        <f>-#REF!</f>
        <v>#REF!</v>
      </c>
      <c r="V910" s="30" t="e">
        <f>-#REF!</f>
        <v>#REF!</v>
      </c>
      <c r="W910" s="30" t="e">
        <f>-#REF!</f>
        <v>#REF!</v>
      </c>
      <c r="X910" s="30" t="e">
        <f>-#REF!</f>
        <v>#REF!</v>
      </c>
    </row>
    <row r="911" spans="21:24">
      <c r="U911" s="30"/>
      <c r="V911" s="30"/>
      <c r="W911" s="30"/>
      <c r="X911" s="30" t="e">
        <f>-#REF!</f>
        <v>#REF!</v>
      </c>
    </row>
    <row r="912" spans="21:24">
      <c r="U912" s="24"/>
      <c r="V912" s="24"/>
      <c r="W912" s="24"/>
      <c r="X912" s="24"/>
    </row>
    <row r="913" spans="21:24">
      <c r="U913" s="30" t="e">
        <f>SUM(U907:U911)</f>
        <v>#REF!</v>
      </c>
      <c r="V913" s="30" t="e">
        <f>SUM(V907:V911)</f>
        <v>#REF!</v>
      </c>
      <c r="W913" s="30" t="e">
        <f>SUM(W907:W911)</f>
        <v>#REF!</v>
      </c>
      <c r="X913" s="30" t="e">
        <f>SUM(X907:X911)</f>
        <v>#REF!</v>
      </c>
    </row>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spans="21:24" hidden="1"/>
    <row r="1042" spans="21:24" hidden="1"/>
    <row r="1043" spans="21:24" hidden="1"/>
    <row r="1044" spans="21:24" hidden="1"/>
    <row r="1045" spans="21:24" hidden="1"/>
    <row r="1046" spans="21:24" hidden="1"/>
    <row r="1047" spans="21:24" hidden="1"/>
    <row r="1048" spans="21:24" hidden="1">
      <c r="U1048" s="26" t="s">
        <v>1848</v>
      </c>
      <c r="V1048" s="26" t="s">
        <v>1849</v>
      </c>
      <c r="W1048" s="26" t="s">
        <v>1850</v>
      </c>
      <c r="X1048" s="26" t="s">
        <v>1851</v>
      </c>
    </row>
    <row r="1049" spans="21:24" hidden="1">
      <c r="U1049" s="29" t="e">
        <f>#REF!</f>
        <v>#REF!</v>
      </c>
      <c r="V1049" s="29" t="e">
        <f>#REF!</f>
        <v>#REF!</v>
      </c>
      <c r="W1049" s="29" t="e">
        <f>#REF!</f>
        <v>#REF!</v>
      </c>
      <c r="X1049" s="29" t="e">
        <f>#REF!</f>
        <v>#REF!</v>
      </c>
    </row>
    <row r="1050" spans="21:24" hidden="1"/>
    <row r="1051" spans="21:24" hidden="1"/>
    <row r="1052" spans="21:24" hidden="1"/>
    <row r="1053" spans="21:24" hidden="1">
      <c r="U1053" s="30" t="e">
        <f>-#REF!</f>
        <v>#REF!</v>
      </c>
      <c r="V1053" s="30" t="e">
        <f>-#REF!</f>
        <v>#REF!</v>
      </c>
      <c r="W1053" s="30" t="e">
        <f>-#REF!</f>
        <v>#REF!</v>
      </c>
      <c r="X1053" s="30" t="e">
        <f>-#REF!</f>
        <v>#REF!</v>
      </c>
    </row>
    <row r="1054" spans="21:24" hidden="1">
      <c r="U1054" s="30" t="e">
        <f>-#REF!</f>
        <v>#REF!</v>
      </c>
      <c r="V1054" s="30" t="e">
        <f>-#REF!</f>
        <v>#REF!</v>
      </c>
      <c r="W1054" s="30" t="e">
        <f>-#REF!</f>
        <v>#REF!</v>
      </c>
      <c r="X1054" s="30" t="e">
        <f>-#REF!</f>
        <v>#REF!</v>
      </c>
    </row>
    <row r="1055" spans="21:24" hidden="1">
      <c r="U1055" s="30"/>
      <c r="V1055" s="30"/>
      <c r="W1055" s="30"/>
      <c r="X1055" s="30" t="e">
        <f>-#REF!</f>
        <v>#REF!</v>
      </c>
    </row>
    <row r="1056" spans="21:24">
      <c r="U1056" s="24"/>
      <c r="V1056" s="24"/>
      <c r="W1056" s="24"/>
      <c r="X1056" s="24"/>
    </row>
    <row r="1057" spans="21:24">
      <c r="U1057" s="30" t="e">
        <f>SUM(U1051:U1055)</f>
        <v>#REF!</v>
      </c>
      <c r="V1057" s="30" t="e">
        <f>SUM(V1051:V1055)</f>
        <v>#REF!</v>
      </c>
      <c r="W1057" s="30" t="e">
        <f>SUM(W1051:W1055)</f>
        <v>#REF!</v>
      </c>
      <c r="X1057" s="30" t="e">
        <f>SUM(X1051:X1055)</f>
        <v>#REF!</v>
      </c>
    </row>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spans="21:24" hidden="1"/>
    <row r="1186" spans="21:24" hidden="1"/>
    <row r="1187" spans="21:24" hidden="1"/>
    <row r="1188" spans="21:24" hidden="1"/>
    <row r="1189" spans="21:24" hidden="1"/>
    <row r="1190" spans="21:24" hidden="1"/>
    <row r="1191" spans="21:24" hidden="1"/>
    <row r="1192" spans="21:24" hidden="1">
      <c r="U1192" s="26" t="s">
        <v>1848</v>
      </c>
      <c r="V1192" s="26" t="s">
        <v>1849</v>
      </c>
      <c r="W1192" s="26" t="s">
        <v>1850</v>
      </c>
      <c r="X1192" s="26" t="s">
        <v>1851</v>
      </c>
    </row>
    <row r="1193" spans="21:24" hidden="1">
      <c r="U1193" s="29" t="e">
        <f>#REF!</f>
        <v>#REF!</v>
      </c>
      <c r="V1193" s="29" t="e">
        <f>#REF!</f>
        <v>#REF!</v>
      </c>
      <c r="W1193" s="29" t="e">
        <f>#REF!</f>
        <v>#REF!</v>
      </c>
      <c r="X1193" s="29" t="e">
        <f>#REF!</f>
        <v>#REF!</v>
      </c>
    </row>
    <row r="1194" spans="21:24" hidden="1"/>
    <row r="1195" spans="21:24" hidden="1"/>
    <row r="1196" spans="21:24" hidden="1"/>
    <row r="1197" spans="21:24" hidden="1">
      <c r="U1197" s="30" t="e">
        <f>-#REF!</f>
        <v>#REF!</v>
      </c>
      <c r="V1197" s="30" t="e">
        <f>-#REF!</f>
        <v>#REF!</v>
      </c>
      <c r="W1197" s="30" t="e">
        <f>-#REF!</f>
        <v>#REF!</v>
      </c>
      <c r="X1197" s="30" t="e">
        <f>-#REF!</f>
        <v>#REF!</v>
      </c>
    </row>
    <row r="1198" spans="21:24" hidden="1">
      <c r="U1198" s="30" t="e">
        <f>-#REF!</f>
        <v>#REF!</v>
      </c>
      <c r="V1198" s="30" t="e">
        <f>-#REF!</f>
        <v>#REF!</v>
      </c>
      <c r="W1198" s="30" t="e">
        <f>-#REF!</f>
        <v>#REF!</v>
      </c>
      <c r="X1198" s="30" t="e">
        <f>-#REF!</f>
        <v>#REF!</v>
      </c>
    </row>
    <row r="1199" spans="21:24" hidden="1">
      <c r="U1199" s="30"/>
      <c r="V1199" s="30"/>
      <c r="W1199" s="30"/>
      <c r="X1199" s="30" t="e">
        <f>-#REF!</f>
        <v>#REF!</v>
      </c>
    </row>
    <row r="1200" spans="21:24">
      <c r="U1200" s="24"/>
      <c r="V1200" s="24"/>
      <c r="W1200" s="24"/>
      <c r="X1200" s="24"/>
    </row>
    <row r="1201" spans="21:24">
      <c r="U1201" s="30" t="e">
        <f>SUM(U1195:U1199)</f>
        <v>#REF!</v>
      </c>
      <c r="V1201" s="30" t="e">
        <f>SUM(V1195:V1199)</f>
        <v>#REF!</v>
      </c>
      <c r="W1201" s="30" t="e">
        <f>SUM(W1195:W1199)</f>
        <v>#REF!</v>
      </c>
      <c r="X1201" s="30" t="e">
        <f>SUM(X1195:X1199)</f>
        <v>#REF!</v>
      </c>
    </row>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spans="21:24" hidden="1"/>
    <row r="1330" spans="21:24" hidden="1"/>
    <row r="1331" spans="21:24" hidden="1"/>
    <row r="1332" spans="21:24" hidden="1"/>
    <row r="1333" spans="21:24" hidden="1"/>
    <row r="1334" spans="21:24" hidden="1"/>
    <row r="1335" spans="21:24" hidden="1"/>
    <row r="1336" spans="21:24" hidden="1">
      <c r="U1336" s="26" t="s">
        <v>1848</v>
      </c>
      <c r="V1336" s="26" t="s">
        <v>1849</v>
      </c>
      <c r="W1336" s="26" t="s">
        <v>1850</v>
      </c>
      <c r="X1336" s="26" t="s">
        <v>1851</v>
      </c>
    </row>
    <row r="1337" spans="21:24" hidden="1">
      <c r="U1337" s="29" t="e">
        <f>#REF!</f>
        <v>#REF!</v>
      </c>
      <c r="V1337" s="29" t="e">
        <f>#REF!</f>
        <v>#REF!</v>
      </c>
      <c r="W1337" s="29" t="e">
        <f>#REF!</f>
        <v>#REF!</v>
      </c>
      <c r="X1337" s="29" t="e">
        <f>#REF!</f>
        <v>#REF!</v>
      </c>
    </row>
    <row r="1338" spans="21:24" hidden="1"/>
    <row r="1339" spans="21:24" hidden="1"/>
    <row r="1340" spans="21:24" hidden="1"/>
    <row r="1341" spans="21:24" hidden="1">
      <c r="U1341" s="30" t="e">
        <f>-#REF!</f>
        <v>#REF!</v>
      </c>
      <c r="V1341" s="30" t="e">
        <f>-#REF!</f>
        <v>#REF!</v>
      </c>
      <c r="W1341" s="30" t="e">
        <f>-#REF!</f>
        <v>#REF!</v>
      </c>
      <c r="X1341" s="30" t="e">
        <f>-#REF!</f>
        <v>#REF!</v>
      </c>
    </row>
    <row r="1342" spans="21:24" hidden="1">
      <c r="U1342" s="30" t="e">
        <f>-#REF!</f>
        <v>#REF!</v>
      </c>
      <c r="V1342" s="30" t="e">
        <f>-#REF!</f>
        <v>#REF!</v>
      </c>
      <c r="W1342" s="30" t="e">
        <f>-#REF!</f>
        <v>#REF!</v>
      </c>
      <c r="X1342" s="30" t="e">
        <f>-#REF!</f>
        <v>#REF!</v>
      </c>
    </row>
    <row r="1343" spans="21:24" hidden="1">
      <c r="U1343" s="30"/>
      <c r="V1343" s="30"/>
      <c r="W1343" s="30"/>
      <c r="X1343" s="30" t="e">
        <f>-#REF!</f>
        <v>#REF!</v>
      </c>
    </row>
    <row r="1344" spans="21:24">
      <c r="U1344" s="24"/>
      <c r="V1344" s="24"/>
      <c r="W1344" s="24"/>
      <c r="X1344" s="24"/>
    </row>
    <row r="1345" spans="21:24">
      <c r="U1345" s="30" t="e">
        <f>SUM(U1339:U1343)</f>
        <v>#REF!</v>
      </c>
      <c r="V1345" s="30" t="e">
        <f>SUM(V1339:V1343)</f>
        <v>#REF!</v>
      </c>
      <c r="W1345" s="30" t="e">
        <f>SUM(W1339:W1343)</f>
        <v>#REF!</v>
      </c>
      <c r="X1345" s="30" t="e">
        <f>SUM(X1339:X1343)</f>
        <v>#REF!</v>
      </c>
    </row>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spans="21:24" hidden="1"/>
    <row r="1474" spans="21:24" hidden="1"/>
    <row r="1475" spans="21:24" hidden="1"/>
    <row r="1476" spans="21:24" hidden="1"/>
    <row r="1477" spans="21:24" hidden="1"/>
    <row r="1478" spans="21:24" hidden="1"/>
    <row r="1479" spans="21:24" hidden="1"/>
    <row r="1480" spans="21:24" hidden="1">
      <c r="U1480" s="26" t="s">
        <v>1848</v>
      </c>
      <c r="V1480" s="26" t="s">
        <v>1849</v>
      </c>
      <c r="W1480" s="26" t="s">
        <v>1850</v>
      </c>
      <c r="X1480" s="26" t="s">
        <v>1851</v>
      </c>
    </row>
    <row r="1481" spans="21:24" hidden="1">
      <c r="U1481" s="29" t="e">
        <f>#REF!</f>
        <v>#REF!</v>
      </c>
      <c r="V1481" s="29" t="e">
        <f>#REF!</f>
        <v>#REF!</v>
      </c>
      <c r="W1481" s="29" t="e">
        <f>#REF!</f>
        <v>#REF!</v>
      </c>
      <c r="X1481" s="29" t="e">
        <f>#REF!</f>
        <v>#REF!</v>
      </c>
    </row>
    <row r="1482" spans="21:24" hidden="1"/>
    <row r="1483" spans="21:24" hidden="1"/>
    <row r="1484" spans="21:24" hidden="1"/>
    <row r="1485" spans="21:24" hidden="1">
      <c r="U1485" s="30" t="e">
        <f>-#REF!</f>
        <v>#REF!</v>
      </c>
      <c r="V1485" s="30" t="e">
        <f>-#REF!</f>
        <v>#REF!</v>
      </c>
      <c r="W1485" s="30" t="e">
        <f>-#REF!</f>
        <v>#REF!</v>
      </c>
      <c r="X1485" s="30" t="e">
        <f>-#REF!</f>
        <v>#REF!</v>
      </c>
    </row>
    <row r="1486" spans="21:24" hidden="1">
      <c r="U1486" s="30" t="e">
        <f>-#REF!</f>
        <v>#REF!</v>
      </c>
      <c r="V1486" s="30" t="e">
        <f>-#REF!</f>
        <v>#REF!</v>
      </c>
      <c r="W1486" s="30" t="e">
        <f>-#REF!</f>
        <v>#REF!</v>
      </c>
      <c r="X1486" s="30" t="e">
        <f>-#REF!</f>
        <v>#REF!</v>
      </c>
    </row>
    <row r="1487" spans="21:24" hidden="1">
      <c r="U1487" s="30"/>
      <c r="V1487" s="30"/>
      <c r="W1487" s="30"/>
      <c r="X1487" s="30" t="e">
        <f>-#REF!</f>
        <v>#REF!</v>
      </c>
    </row>
    <row r="1488" spans="21:24">
      <c r="U1488" s="24"/>
      <c r="V1488" s="24"/>
      <c r="W1488" s="24"/>
      <c r="X1488" s="24"/>
    </row>
    <row r="1489" spans="21:24">
      <c r="U1489" s="30" t="e">
        <f>SUM(U1483:U1487)</f>
        <v>#REF!</v>
      </c>
      <c r="V1489" s="30" t="e">
        <f>SUM(V1483:V1487)</f>
        <v>#REF!</v>
      </c>
      <c r="W1489" s="30" t="e">
        <f>SUM(W1483:W1487)</f>
        <v>#REF!</v>
      </c>
      <c r="X1489" s="30" t="e">
        <f>SUM(X1483:X1487)</f>
        <v>#REF!</v>
      </c>
    </row>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spans="21:24" hidden="1"/>
    <row r="1618" spans="21:24" hidden="1"/>
    <row r="1619" spans="21:24" hidden="1"/>
    <row r="1620" spans="21:24" hidden="1"/>
    <row r="1621" spans="21:24" hidden="1"/>
    <row r="1622" spans="21:24" hidden="1"/>
    <row r="1623" spans="21:24" hidden="1"/>
    <row r="1624" spans="21:24" hidden="1">
      <c r="U1624" s="26" t="s">
        <v>1848</v>
      </c>
      <c r="V1624" s="26" t="s">
        <v>1849</v>
      </c>
      <c r="W1624" s="26" t="s">
        <v>1850</v>
      </c>
      <c r="X1624" s="26" t="s">
        <v>1851</v>
      </c>
    </row>
    <row r="1625" spans="21:24" hidden="1">
      <c r="U1625" s="29" t="e">
        <f>#REF!</f>
        <v>#REF!</v>
      </c>
      <c r="V1625" s="29" t="e">
        <f>#REF!</f>
        <v>#REF!</v>
      </c>
      <c r="W1625" s="29" t="e">
        <f>#REF!</f>
        <v>#REF!</v>
      </c>
      <c r="X1625" s="29" t="e">
        <f>#REF!</f>
        <v>#REF!</v>
      </c>
    </row>
    <row r="1626" spans="21:24" hidden="1"/>
    <row r="1627" spans="21:24" hidden="1"/>
    <row r="1628" spans="21:24" hidden="1"/>
    <row r="1629" spans="21:24" hidden="1">
      <c r="U1629" s="30" t="e">
        <f>-#REF!</f>
        <v>#REF!</v>
      </c>
      <c r="V1629" s="30" t="e">
        <f>-#REF!</f>
        <v>#REF!</v>
      </c>
      <c r="W1629" s="30" t="e">
        <f>-#REF!</f>
        <v>#REF!</v>
      </c>
      <c r="X1629" s="30" t="e">
        <f>-#REF!</f>
        <v>#REF!</v>
      </c>
    </row>
    <row r="1630" spans="21:24" hidden="1">
      <c r="U1630" s="30" t="e">
        <f>-#REF!</f>
        <v>#REF!</v>
      </c>
      <c r="V1630" s="30" t="e">
        <f>-#REF!</f>
        <v>#REF!</v>
      </c>
      <c r="W1630" s="30" t="e">
        <f>-#REF!</f>
        <v>#REF!</v>
      </c>
      <c r="X1630" s="30" t="e">
        <f>-#REF!</f>
        <v>#REF!</v>
      </c>
    </row>
    <row r="1631" spans="21:24" hidden="1">
      <c r="U1631" s="30"/>
      <c r="V1631" s="30"/>
      <c r="W1631" s="30"/>
      <c r="X1631" s="30" t="e">
        <f>-#REF!</f>
        <v>#REF!</v>
      </c>
    </row>
    <row r="1632" spans="21:24">
      <c r="U1632" s="24"/>
      <c r="V1632" s="24"/>
      <c r="W1632" s="24"/>
      <c r="X1632" s="24"/>
    </row>
    <row r="1633" spans="21:24">
      <c r="U1633" s="30" t="e">
        <f>SUM(U1627:U1631)</f>
        <v>#REF!</v>
      </c>
      <c r="V1633" s="30" t="e">
        <f>SUM(V1627:V1631)</f>
        <v>#REF!</v>
      </c>
      <c r="W1633" s="30" t="e">
        <f>SUM(W1627:W1631)</f>
        <v>#REF!</v>
      </c>
      <c r="X1633" s="30" t="e">
        <f>SUM(X1627:X1631)</f>
        <v>#REF!</v>
      </c>
    </row>
  </sheetData>
  <mergeCells count="4">
    <mergeCell ref="D3:D7"/>
    <mergeCell ref="D36:H36"/>
    <mergeCell ref="D12:D14"/>
    <mergeCell ref="D8:D10"/>
  </mergeCells>
  <conditionalFormatting sqref="F3:K5">
    <cfRule type="expression" dxfId="167" priority="26">
      <formula>AND(OR(PP_DispIncr="Top",PP_DispIncr="Both"),PP_Increments=5)</formula>
    </cfRule>
  </conditionalFormatting>
  <conditionalFormatting sqref="F12:K12">
    <cfRule type="expression" dxfId="166" priority="25">
      <formula>AND(OR(PP_Increments=3,PP_Increments=2,PP_Increments=1),OR(PP_DispIncr="Bottom",PP_DispIncr="Both"))</formula>
    </cfRule>
  </conditionalFormatting>
  <conditionalFormatting sqref="F12:K13">
    <cfRule type="expression" dxfId="165" priority="24">
      <formula>AND(PP_Increments=4,OR(PP_DispIncr="Bottom",PP_DispIncr="Both"))</formula>
    </cfRule>
  </conditionalFormatting>
  <conditionalFormatting sqref="F12:K14">
    <cfRule type="expression" dxfId="164" priority="23">
      <formula>AND(PP_Increments=5,OR(PP_DispIncr="Bottom",PP_DispIncr="Both"))</formula>
    </cfRule>
  </conditionalFormatting>
  <conditionalFormatting sqref="F10:K10">
    <cfRule type="expression" dxfId="163" priority="22">
      <formula>AND(OR(PP_Increments=3,PP_Increments=2,PP_Increments=1),OR(PP_DispIncr="Top",PP_DispIncr="Both"))</formula>
    </cfRule>
  </conditionalFormatting>
  <conditionalFormatting sqref="F9:K10">
    <cfRule type="expression" dxfId="162" priority="21">
      <formula>AND(PP_Increments=4,OR(PP_DispIncr="Top",PP_DispIncr="Both"))</formula>
    </cfRule>
  </conditionalFormatting>
  <conditionalFormatting sqref="F8:K10">
    <cfRule type="expression" dxfId="161" priority="18">
      <formula>PP_Increments=0</formula>
    </cfRule>
    <cfRule type="expression" dxfId="160" priority="19">
      <formula>PP_DispIncr="Bottom"</formula>
    </cfRule>
    <cfRule type="expression" dxfId="159" priority="20">
      <formula>AND(PP_Increments=5,OR(PP_DispIncr="Top",PP_DispIncr="Both"))</formula>
    </cfRule>
  </conditionalFormatting>
  <conditionalFormatting sqref="F7:K9">
    <cfRule type="expression" dxfId="158" priority="17">
      <formula>AND(OR(PP_DispIncr="Top",PP_DispIncr="Both"),PP_Increments=1)</formula>
    </cfRule>
  </conditionalFormatting>
  <conditionalFormatting sqref="F6:K8">
    <cfRule type="expression" dxfId="157" priority="16">
      <formula>AND(OR(PP_DispIncr="Top",PP_DispIncr="Both"),PP_Increments=2)</formula>
    </cfRule>
  </conditionalFormatting>
  <conditionalFormatting sqref="F5:K7">
    <cfRule type="expression" dxfId="156" priority="15">
      <formula>AND(OR(PP_DispIncr="Top",PP_DispIncr="Both"),PP_Increments=3)</formula>
    </cfRule>
  </conditionalFormatting>
  <conditionalFormatting sqref="F4:K6">
    <cfRule type="expression" dxfId="155" priority="14">
      <formula>AND(OR(PP_DispIncr="Top",PP_DispIncr="Both"),PP_Increments=4)</formula>
    </cfRule>
  </conditionalFormatting>
  <conditionalFormatting sqref="L3:L5">
    <cfRule type="expression" dxfId="154" priority="13">
      <formula>AND(OR(PP_DispIncr="Top",PP_DispIncr="Both"),PP_Increments=5)</formula>
    </cfRule>
  </conditionalFormatting>
  <conditionalFormatting sqref="L12">
    <cfRule type="expression" dxfId="153" priority="12">
      <formula>AND(OR(PP_Increments=3,PP_Increments=2,PP_Increments=1),OR(PP_DispIncr="Bottom",PP_DispIncr="Both"))</formula>
    </cfRule>
  </conditionalFormatting>
  <conditionalFormatting sqref="L12:L13">
    <cfRule type="expression" dxfId="152" priority="11">
      <formula>AND(PP_Increments=4,OR(PP_DispIncr="Bottom",PP_DispIncr="Both"))</formula>
    </cfRule>
  </conditionalFormatting>
  <conditionalFormatting sqref="L12:L14">
    <cfRule type="expression" dxfId="151" priority="10">
      <formula>AND(PP_Increments=5,OR(PP_DispIncr="Bottom",PP_DispIncr="Both"))</formula>
    </cfRule>
  </conditionalFormatting>
  <conditionalFormatting sqref="L10">
    <cfRule type="expression" dxfId="150" priority="9">
      <formula>AND(OR(PP_Increments=3,PP_Increments=2,PP_Increments=1),OR(PP_DispIncr="Top",PP_DispIncr="Both"))</formula>
    </cfRule>
  </conditionalFormatting>
  <conditionalFormatting sqref="L9:L10">
    <cfRule type="expression" dxfId="149" priority="8">
      <formula>AND(PP_Increments=4,OR(PP_DispIncr="Top",PP_DispIncr="Both"))</formula>
    </cfRule>
  </conditionalFormatting>
  <conditionalFormatting sqref="L8:L10">
    <cfRule type="expression" dxfId="148" priority="5">
      <formula>PP_Increments=0</formula>
    </cfRule>
    <cfRule type="expression" dxfId="147" priority="6">
      <formula>PP_DispIncr="Bottom"</formula>
    </cfRule>
    <cfRule type="expression" dxfId="146" priority="7">
      <formula>AND(PP_Increments=5,OR(PP_DispIncr="Top",PP_DispIncr="Both"))</formula>
    </cfRule>
  </conditionalFormatting>
  <conditionalFormatting sqref="L7:L9">
    <cfRule type="expression" dxfId="145" priority="4">
      <formula>AND(OR(PP_DispIncr="Top",PP_DispIncr="Both"),PP_Increments=1)</formula>
    </cfRule>
  </conditionalFormatting>
  <conditionalFormatting sqref="L6:L8">
    <cfRule type="expression" dxfId="144" priority="3">
      <formula>AND(OR(PP_DispIncr="Top",PP_DispIncr="Both"),PP_Increments=2)</formula>
    </cfRule>
  </conditionalFormatting>
  <conditionalFormatting sqref="L5:L7">
    <cfRule type="expression" dxfId="143" priority="2">
      <formula>AND(OR(PP_DispIncr="Top",PP_DispIncr="Both"),PP_Increments=3)</formula>
    </cfRule>
  </conditionalFormatting>
  <conditionalFormatting sqref="L4:L6">
    <cfRule type="expression" dxfId="142" priority="1">
      <formula>AND(OR(PP_DispIncr="Top",PP_DispIncr="Both"),PP_Increments=4)</formula>
    </cfRule>
  </conditionalFormatting>
  <dataValidations disablePrompts="1" count="2">
    <dataValidation type="list" allowBlank="1" showInputMessage="1" showErrorMessage="1" sqref="O4" xr:uid="{00000000-0002-0000-1600-000000000000}">
      <formula1>"Both, Top, Bottom"</formula1>
    </dataValidation>
    <dataValidation type="list" allowBlank="1" showInputMessage="1" showErrorMessage="1" sqref="O3" xr:uid="{00000000-0002-0000-1600-000001000000}">
      <formula1>"0,1,2,3,4,5"</formula1>
    </dataValidation>
  </dataValidations>
  <printOptions horizontalCentered="1"/>
  <pageMargins left="0" right="0" top="1.75" bottom="0.5" header="0" footer="0"/>
  <pageSetup fitToHeight="0" orientation="landscape" cellComments="atEnd" r:id="rId1"/>
  <customProperties>
    <customPr name="GUID"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theme="8" tint="0.249977111117893"/>
    <pageSetUpPr fitToPage="1"/>
  </sheetPr>
  <dimension ref="A1:AN1746"/>
  <sheetViews>
    <sheetView showGridLines="0" zoomScale="117" zoomScaleNormal="117" zoomScaleSheetLayoutView="96" zoomScalePageLayoutView="110" workbookViewId="0">
      <selection activeCell="F21" sqref="F21:H23"/>
    </sheetView>
  </sheetViews>
  <sheetFormatPr defaultColWidth="8.85546875" defaultRowHeight="9"/>
  <cols>
    <col min="1" max="2" width="1.5703125" style="31" customWidth="1"/>
    <col min="3" max="3" width="2.42578125" style="31" customWidth="1"/>
    <col min="4" max="4" width="17.42578125" style="31" customWidth="1"/>
    <col min="5" max="5" width="2.42578125" style="31" customWidth="1"/>
    <col min="6" max="6" width="13" style="31" customWidth="1"/>
    <col min="7" max="8" width="11.5703125" style="31" customWidth="1"/>
    <col min="9" max="11" width="13" style="31" customWidth="1"/>
    <col min="12" max="12" width="13" style="32" customWidth="1"/>
    <col min="13" max="13" width="13" style="31" customWidth="1"/>
    <col min="14" max="15" width="10.42578125" style="31" customWidth="1"/>
    <col min="16" max="16" width="16.42578125" style="31" customWidth="1"/>
    <col min="17" max="19" width="2.5703125" style="31" customWidth="1"/>
    <col min="20" max="20" width="1.140625" style="31" customWidth="1"/>
    <col min="21" max="21" width="9.42578125" style="31" bestFit="1" customWidth="1"/>
    <col min="22" max="22" width="14.42578125" style="31" customWidth="1"/>
    <col min="23" max="23" width="13.140625" style="31" customWidth="1"/>
    <col min="24" max="24" width="11.42578125" style="31" bestFit="1" customWidth="1"/>
    <col min="25" max="26" width="11.140625" style="31" bestFit="1" customWidth="1"/>
    <col min="27" max="27" width="12.42578125" style="31" bestFit="1" customWidth="1"/>
    <col min="28" max="28" width="11.140625" style="31" bestFit="1" customWidth="1"/>
    <col min="29" max="29" width="13.42578125" style="31" customWidth="1"/>
    <col min="30" max="30" width="14.140625" style="31" bestFit="1" customWidth="1"/>
    <col min="31" max="39" width="13.140625" style="31" bestFit="1" customWidth="1"/>
    <col min="40" max="40" width="14.85546875" style="31" bestFit="1" customWidth="1"/>
    <col min="41" max="16384" width="8.85546875" style="31"/>
  </cols>
  <sheetData>
    <row r="1" spans="1:33" s="21" customFormat="1" ht="15" customHeight="1">
      <c r="A1" s="589"/>
      <c r="B1" s="589"/>
      <c r="C1" s="758" t="s">
        <v>1852</v>
      </c>
      <c r="D1" s="589"/>
      <c r="E1" s="589"/>
      <c r="F1" s="641"/>
      <c r="G1" s="641"/>
      <c r="H1" s="641"/>
      <c r="I1" s="641"/>
      <c r="J1" s="641"/>
      <c r="K1" s="641"/>
      <c r="L1" s="589"/>
      <c r="M1" s="589"/>
      <c r="N1" s="589"/>
      <c r="O1" s="589"/>
      <c r="P1" s="589"/>
      <c r="Q1" s="589"/>
      <c r="R1" s="589"/>
      <c r="S1" s="589"/>
      <c r="T1" s="589"/>
      <c r="U1" s="597"/>
      <c r="V1" s="25"/>
      <c r="W1" s="25"/>
      <c r="X1" s="25"/>
      <c r="Y1" s="25"/>
      <c r="Z1" s="25"/>
      <c r="AA1" s="25"/>
      <c r="AB1" s="25"/>
      <c r="AC1" s="25"/>
      <c r="AD1" s="25"/>
      <c r="AE1" s="25"/>
      <c r="AF1" s="25"/>
      <c r="AG1" s="25"/>
    </row>
    <row r="2" spans="1:33" s="21" customFormat="1" ht="9" customHeight="1">
      <c r="A2" s="589"/>
      <c r="B2" s="589"/>
      <c r="C2" s="589"/>
      <c r="D2" s="640"/>
      <c r="E2" s="645"/>
      <c r="F2" s="645"/>
      <c r="G2" s="645"/>
      <c r="H2" s="645"/>
      <c r="I2" s="645"/>
      <c r="J2" s="645"/>
      <c r="K2" s="645"/>
      <c r="L2" s="589"/>
      <c r="M2" s="589"/>
      <c r="N2" s="589"/>
      <c r="O2" s="589"/>
      <c r="P2" s="589"/>
      <c r="Q2" s="589"/>
      <c r="R2" s="589"/>
      <c r="S2" s="589"/>
      <c r="T2" s="589"/>
      <c r="U2" s="597"/>
      <c r="V2" s="25"/>
      <c r="W2" s="25"/>
      <c r="X2" s="84"/>
      <c r="Y2" s="84"/>
      <c r="Z2" s="84"/>
      <c r="AA2" s="84"/>
      <c r="AB2" s="84"/>
      <c r="AC2" s="84"/>
      <c r="AD2" s="84"/>
      <c r="AE2" s="84"/>
      <c r="AF2" s="84"/>
      <c r="AG2" s="25"/>
    </row>
    <row r="3" spans="1:33" s="152" customFormat="1" ht="13.5" customHeight="1">
      <c r="A3" s="848"/>
      <c r="B3" s="848"/>
      <c r="C3" s="848"/>
      <c r="D3" s="1628" t="s">
        <v>1831</v>
      </c>
      <c r="E3" s="848"/>
      <c r="F3" s="890"/>
      <c r="G3" s="890"/>
      <c r="H3" s="890"/>
      <c r="I3" s="890" t="str">
        <f>IF(AND(OR(PPIRRU_DispIncr="Both",PPIRRU_DispIncr="Top"),PPIRRU_Increments=5),AA3,"")</f>
        <v>Initial Cash-</v>
      </c>
      <c r="J3" s="890" t="str">
        <f>IF(AND(OR(PPIRRU_DispIncr="Both",PPIRRU_DispIncr="Top"),PPIRRU_Increments=5),AB3,"")</f>
        <v>Year 10</v>
      </c>
      <c r="K3" s="890" t="str">
        <f>IF(AND(OR(PPIRRU_DispIncr="Both",PPIRRU_DispIncr="Top"),PPIRRU_Increments=5),AC3,"")</f>
        <v>Year 10</v>
      </c>
      <c r="L3" s="890"/>
      <c r="M3" s="890"/>
      <c r="N3" s="1142"/>
      <c r="O3" s="1143" t="s">
        <v>1832</v>
      </c>
      <c r="P3" s="1144">
        <v>5</v>
      </c>
      <c r="Q3" s="848"/>
      <c r="R3" s="848"/>
      <c r="S3" s="848"/>
      <c r="T3" s="848"/>
      <c r="U3" s="849"/>
      <c r="V3" s="557"/>
      <c r="W3" s="557"/>
      <c r="X3" s="560"/>
      <c r="Y3" s="560"/>
      <c r="Z3" s="560"/>
      <c r="AA3" s="560" t="s">
        <v>1267</v>
      </c>
      <c r="AB3" s="560" t="s">
        <v>1851</v>
      </c>
      <c r="AC3" s="560" t="s">
        <v>1851</v>
      </c>
      <c r="AD3" s="560"/>
      <c r="AE3" s="560"/>
      <c r="AF3" s="560"/>
      <c r="AG3" s="557"/>
    </row>
    <row r="4" spans="1:33" s="151" customFormat="1">
      <c r="A4" s="850"/>
      <c r="B4" s="850"/>
      <c r="C4" s="850"/>
      <c r="D4" s="1628"/>
      <c r="E4" s="850"/>
      <c r="F4" s="890" t="str">
        <f>IF(AND(OR(PPIRRU_DispIncr="Both",PPIRRU_DispIncr="Top"),PPIRRU_Increments=5),X4,"")</f>
        <v>Purchase</v>
      </c>
      <c r="G4" s="890" t="str">
        <f>IF(AND(OR(PPIRRU_DispIncr="Both",PPIRRU_DispIncr="Top"),PPIRRU_Increments=5),Y4,"")</f>
        <v>Current</v>
      </c>
      <c r="H4" s="890" t="str">
        <f>IF(AND(OR(PPIRRU_DispIncr="Both",PPIRRU_DispIncr="Top"),PPIRRU_Increments=5),Z4,"")</f>
        <v>Pro Forma</v>
      </c>
      <c r="I4" s="890" t="str">
        <f>IF(AND(OR(PPIRRU_DispIncr="Both",PPIRRU_DispIncr="Top"),PPIRRU_Increments=5),AA4,IF(AND(OR(PPIRRU_DispIncr="Both",PPIRRU_DispIncr="Top"),PPIRRU_Increments=4),AA3,""))</f>
        <v>on-Cash</v>
      </c>
      <c r="J4" s="890" t="str">
        <f>IF(AND(OR(PPIRRU_DispIncr="Both",PPIRRU_DispIncr="Top"),PPIRRU_Increments=5),AB4,IF(AND(OR(PPIRRU_DispIncr="Both",PPIRRU_DispIncr="Top"),PPIRRU_Increments=4),AB3,""))</f>
        <v>Unlevered</v>
      </c>
      <c r="K4" s="890" t="str">
        <f>IF(AND(OR(PPIRRU_DispIncr="Both",PPIRRU_DispIncr="Top"),PPIRRU_Increments=5),AC4,IF(AND(OR(PPIRRU_DispIncr="Both",PPIRRU_DispIncr="Top"),PPIRRU_Increments=4),AC3,""))</f>
        <v>Levered</v>
      </c>
      <c r="L4" s="890" t="str">
        <f>IF(AND(OR(PPIRRU_DispIncr="Both",PPIRRU_DispIncr="Top"),PPIRRU_Increments=5),AE4,"")</f>
        <v>Price</v>
      </c>
      <c r="M4" s="890" t="str">
        <f>IF(AND(OR(PPIRRU_DispIncr="Both",PPIRRU_DispIncr="Top"),PPIRRU_Increments=5),AF4,"")</f>
        <v>Pro Forma</v>
      </c>
      <c r="N4" s="911"/>
      <c r="O4" s="912" t="s">
        <v>1833</v>
      </c>
      <c r="P4" s="913" t="s">
        <v>205</v>
      </c>
      <c r="Q4" s="850"/>
      <c r="R4" s="850"/>
      <c r="S4" s="850"/>
      <c r="T4" s="850"/>
      <c r="U4" s="851"/>
      <c r="V4" s="558"/>
      <c r="W4" s="558"/>
      <c r="X4" s="561" t="s">
        <v>1834</v>
      </c>
      <c r="Y4" s="561" t="str">
        <f>'Operating Statement'!O4</f>
        <v>Current</v>
      </c>
      <c r="Z4" s="561" t="str">
        <f>'Operating Statement'!Q4</f>
        <v>Pro Forma</v>
      </c>
      <c r="AA4" s="561" t="s">
        <v>1270</v>
      </c>
      <c r="AB4" s="561" t="s">
        <v>1835</v>
      </c>
      <c r="AC4" s="561" t="s">
        <v>1836</v>
      </c>
      <c r="AD4" s="561" t="s">
        <v>0</v>
      </c>
      <c r="AE4" s="561" t="s">
        <v>0</v>
      </c>
      <c r="AF4" s="561" t="str">
        <f>'Operating Statement'!Q4</f>
        <v>Pro Forma</v>
      </c>
      <c r="AG4" s="558"/>
    </row>
    <row r="5" spans="1:33" s="153" customFormat="1" ht="13.5" customHeight="1">
      <c r="A5" s="852"/>
      <c r="B5" s="852"/>
      <c r="C5" s="852"/>
      <c r="D5" s="1628"/>
      <c r="E5" s="852"/>
      <c r="F5" s="890" t="str">
        <f>IF(AND(OR(PPIRRU_DispIncr="Both",PPIRRU_DispIncr="Top"),PPIRRU_Increments=5),X5,IF(AND(OR(PPIRRU_DispIncr="Both",PPIRRU_DispIncr="Top"),PPIRRU_Increments=4),X4,""))</f>
        <v>Price</v>
      </c>
      <c r="G5" s="890" t="str">
        <f>IF(AND(OR(PPIRRU_DispIncr="Both",PPIRRU_DispIncr="Top"),PPIRRU_Increments=5),Y5,IF(AND(OR(PPIRRU_DispIncr="Both",PPIRRU_DispIncr="Top"),PPIRRU_Increments=4),Y4,""))</f>
        <v>Cap Rate</v>
      </c>
      <c r="H5" s="890" t="str">
        <f>IF(AND(OR(PPIRRU_DispIncr="Both",PPIRRU_DispIncr="Top"),PPIRRU_Increments=5),Z5,IF(AND(OR(PPIRRU_DispIncr="Both",PPIRRU_DispIncr="Top"),PPIRRU_Increments=4),Z4,""))</f>
        <v>Cap Rate</v>
      </c>
      <c r="I5" s="890" t="str">
        <f>IFERROR(IF(AND(OR(PPIRRU_DispIncr="Both",PPIRRU_DispIncr="Top"),PPIRRU_Increments=5),AA5,IF(AND(OR(PPIRRU_DispIncr="Both",PPIRRU_DispIncr="Top"),PPIRRU_Increments=4),AA4,IF(AND(OR(PPIRRU_DispIncr="Both",PPIRRU_DispIncr="Top"),PPIRRU_Increments=3),AA3,""))),0)</f>
        <v>Return</v>
      </c>
      <c r="J5" s="890" t="str">
        <f>IFERROR(IF(AND(OR(PPIRRU_DispIncr="Both",PPIRRU_DispIncr="Top"),PPIRRU_Increments=5),AB5,IF(AND(OR(PPIRRU_DispIncr="Both",PPIRRU_DispIncr="Top"),PPIRRU_Increments=4),AB4,IF(AND(OR(PPIRRU_DispIncr="Both",PPIRRU_DispIncr="Top"),PPIRRU_Increments=3),AB3,""))),0)</f>
        <v>IRR</v>
      </c>
      <c r="K5" s="890" t="str">
        <f>IFERROR(IF(AND(OR(PPIRRU_DispIncr="Both",PPIRRU_DispIncr="Top"),PPIRRU_Increments=5),AC5,IF(AND(OR(PPIRRU_DispIncr="Both",PPIRRU_DispIncr="Top"),PPIRRU_Increments=4),AC4,IF(AND(OR(PPIRRU_DispIncr="Both",PPIRRU_DispIncr="Top"),PPIRRU_Increments=3),AC3,""))),0)</f>
        <v>IRR</v>
      </c>
      <c r="L5" s="890" t="str">
        <f>IF(AND(OR(PPIRRU_DispIncr="Both",PPIRRU_DispIncr="Top"),PPIRRU_Increments=5),AE5,IF(AND(OR(PPIRRU_DispIncr="Both",PPIRRU_DispIncr="Top"),PPIRRU_Increments=4),AE4,""))</f>
        <v>Per Unit</v>
      </c>
      <c r="M5" s="890" t="str">
        <f>IF(AND(OR(PPIRRU_DispIncr="Both",PPIRRU_DispIncr="Top"),PPIRRU_Increments=5),AF5,IF(AND(OR(PPIRRU_DispIncr="Both",PPIRRU_DispIncr="Top"),PPIRRU_Increments=4),AF4,""))</f>
        <v>GRM</v>
      </c>
      <c r="N5" s="852"/>
      <c r="O5" s="852"/>
      <c r="P5" s="852"/>
      <c r="Q5" s="852"/>
      <c r="R5" s="852"/>
      <c r="S5" s="852"/>
      <c r="T5" s="852"/>
      <c r="U5" s="853"/>
      <c r="V5" s="559"/>
      <c r="W5" s="559"/>
      <c r="X5" s="562" t="s">
        <v>0</v>
      </c>
      <c r="Y5" s="562" t="s">
        <v>1274</v>
      </c>
      <c r="Z5" s="562" t="s">
        <v>1274</v>
      </c>
      <c r="AA5" s="562" t="s">
        <v>1275</v>
      </c>
      <c r="AB5" s="562" t="s">
        <v>1277</v>
      </c>
      <c r="AC5" s="562" t="s">
        <v>1277</v>
      </c>
      <c r="AD5" s="562" t="s">
        <v>1278</v>
      </c>
      <c r="AE5" s="562" t="s">
        <v>1279</v>
      </c>
      <c r="AF5" s="562" t="s">
        <v>199</v>
      </c>
      <c r="AG5" s="559"/>
    </row>
    <row r="6" spans="1:33" ht="11.25" customHeight="1">
      <c r="A6" s="854"/>
      <c r="B6" s="854"/>
      <c r="C6" s="854"/>
      <c r="D6" s="1628"/>
      <c r="E6" s="855"/>
      <c r="F6" s="886">
        <f>IF(AND(OR(PPIRRU_DispIncr="Both",PPIRRU_DispIncr="Top"),PPIRRU_Increments=5),5*Input!$B$34+Price,IF(AND(OR(PPIRRU_DispIncr="Both",PPIRRU_DispIncr="Top"),PPIRRU_Increments=4),X5,IF(AND(OR(PPIRRU_DispIncr="Both",PPIRRU_DispIncr="Top"),PPIRRU_Increments=3),X4,"")))</f>
        <v>9850000</v>
      </c>
      <c r="G6" s="835">
        <f>IFERROR(IF(AND(OR(PPIRRU_DispIncr="Both",PPIRRU_DispIncr="Top"),PPIRRU_Increments=5),'Pricing Detail'!$N$13/'Proposal Price IRR'!F6,IF(AND(OR(PPIRRU_DispIncr="Both",PPIRRU_DispIncr="Top"),PPIRRU_Increments=4),Y5,IF(AND(OR(PPIRRU_DispIncr="Both",PPIRRU_DispIncr="Top"),PPIRRU_Increments=3),Y4,""))),0)</f>
        <v>4.5262543756345176E-2</v>
      </c>
      <c r="H6" s="835">
        <f>IFERROR(IF(AND(OR(PPIRRU_DispIncr="Both",PPIRRU_DispIncr="Top"),PPIRRU_Increments=5),Input!R25,IF(AND(OR(PPIRRU_DispIncr="Both",PPIRRU_DispIncr="Top"),PPIRRU_Increments=4),Z5,IF(AND(OR(PPIRRU_DispIncr="Both",PPIRRU_DispIncr="Top"),PPIRRU_Increments=3),Z4,""))),0)</f>
        <v>5.7422867005076143E-2</v>
      </c>
      <c r="I6" s="835">
        <f>IFERROR(IF(AND(OR(PPIRRU_DispIncr="Both",PPIRRU_DispIncr="Top"),PPIRRU_Increments=5),Input!S25,IF(AND(OR(PPIRRU_DispIncr="Both",PPIRRU_DispIncr="Top"),PPIRRU_Increments=4),AA5,IF(AND(OR(PPIRRU_DispIncr="Both",PPIRRU_DispIncr="Top"),PPIRRU_Increments=3),AA4,IF(AND(OR(PPIRRU_DispIncr="Both",PPIRRU_DispIncr="Top"),PPIRRU_Increments=2),AA3,"")))),0)</f>
        <v>1.371806926701551E-2</v>
      </c>
      <c r="J6" s="835">
        <f>IFERROR(IF(AND(OR(PPIRRU_DispIncr="Both",PPIRRU_DispIncr="Top"),PPIRRU_Increments=5),Input!T25,IF(AND(OR(PPIRRU_DispIncr="Both",PPIRRU_DispIncr="Top"),PPIRRU_Increments=4),AB5,IF(AND(OR(PPIRRU_DispIncr="Both",PPIRRU_DispIncr="Top"),PPIRRU_Increments=3),AB4,IF(AND(OR(PPIRRU_DispIncr="Both",PPIRRU_DispIncr="Top"),PPIRRU_Increments=2),AB3,"")))),0)</f>
        <v>-5.7635274844620832E-2</v>
      </c>
      <c r="K6" s="835">
        <f>IFERROR(IF(AND(OR(PPIRRU_DispIncr="Both",PPIRRU_DispIncr="Top"),PPIRRU_Increments=5),Input!U25,IF(AND(OR(PPIRRU_DispIncr="Both",PPIRRU_DispIncr="Top"),PPIRRU_Increments=4),AC5,IF(AND(OR(PPIRRU_DispIncr="Both",PPIRRU_DispIncr="Top"),PPIRRU_Increments=3),AC4,IF(AND(OR(PPIRRU_DispIncr="Both",PPIRRU_DispIncr="Top"),PPIRRU_Increments=2),AC3,"")))),0)</f>
        <v>0</v>
      </c>
      <c r="L6" s="886">
        <f>IFERROR(IF(AND(OR(PPIRRU_DispIncr="Both",PPIRRU_DispIncr="Top"),PPIRRU_Increments=5),Input!W25,IF(AND(OR(PPIRRU_DispIncr="Both",PPIRRU_DispIncr="Top"),PPIRRU_Increments=4),AE5,IF(AND(OR(PPIRRU_DispIncr="Both",PPIRRU_DispIncr="Top"),PPIRRU_Increments=3),AE4,""))),0)</f>
        <v>364814.81481481483</v>
      </c>
      <c r="M6" s="914">
        <f>IFERROR(IF(AND(OR(PPIRRU_DispIncr="Both",PPIRRU_DispIncr="Top"),PPIRRU_Increments=5),Input!X25,IF(AND(OR(PPIRRU_DispIncr="Both",PPIRRU_DispIncr="Top"),PPIRRU_Increments=4),AF5,IF(AND(OR(PPIRRU_DispIncr="Both",PPIRRU_DispIncr="Top"),PPIRRU_Increments=3),AF4,""))),0)</f>
        <v>11.215102245297627</v>
      </c>
      <c r="N6" s="856"/>
      <c r="O6" s="855"/>
      <c r="P6" s="855"/>
      <c r="Q6" s="857"/>
      <c r="R6" s="854"/>
      <c r="S6" s="854"/>
      <c r="T6" s="854"/>
      <c r="U6" s="858"/>
      <c r="V6" s="564"/>
      <c r="W6" s="564"/>
      <c r="X6" s="563"/>
      <c r="Y6" s="563"/>
      <c r="Z6" s="563"/>
      <c r="AA6" s="563"/>
      <c r="AB6" s="563"/>
      <c r="AC6" s="563"/>
      <c r="AD6" s="563"/>
      <c r="AE6" s="563"/>
      <c r="AF6" s="563"/>
      <c r="AG6" s="564"/>
    </row>
    <row r="7" spans="1:33" s="33" customFormat="1" ht="11.25" customHeight="1">
      <c r="A7" s="859"/>
      <c r="B7" s="859"/>
      <c r="C7" s="859"/>
      <c r="D7" s="1628"/>
      <c r="E7" s="856"/>
      <c r="F7" s="886">
        <f>IF(AND(OR(PPIRRU_DispIncr="Both",PPIRRU_DispIncr="Top"),PPIRRU_Increments=5),4*Input!$B$34+Price,IF(AND(OR(PPIRRU_DispIncr="Both",PPIRRU_DispIncr="Top"),PPIRRU_Increments=4),4*Input!$B$34+Price,IF(AND(OR(PPIRRU_DispIncr="Both",PPIRRU_DispIncr="Top"),PPIRRU_Increments=3),X5,IF(AND(OR(PPIRRU_DispIncr="Both",PPIRRU_DispIncr="Top"),PPIRRU_Increments=2),X4,""))))</f>
        <v>9750000</v>
      </c>
      <c r="G7" s="835">
        <f>IFERROR(IF(AND(OR(PPIRRU_DispIncr="Both",PPIRRU_DispIncr="Top"),PPIRRU_Increments=5),'Pricing Detail'!$N$13/'Proposal Price IRR'!F7,IF(AND(OR(PPIRRU_DispIncr="Both",PPIRRU_DispIncr="Top"),PPIRRU_Increments=4),'Pricing Detail'!$N$13/'Proposal Price IRR'!F7,IF(AND(OR(PPIRRU_DispIncr="Both",PPIRRU_DispIncr="Top"),PPIRRU_Increments=3),Y5,IF(AND(OR(PPIRRU_DispIncr="Both",PPIRRU_DispIncr="Top"),PPIRRU_Increments=2),Y4,"")))),0)</f>
        <v>4.5726774974358973E-2</v>
      </c>
      <c r="H7" s="835">
        <f>IFERROR(IF(AND(OR(PPIRRU_DispIncr="Both",PPIRRU_DispIncr="Top"),PPIRRU_Increments=5),Input!R26,IF(AND(OR(PPIRRU_DispIncr="Both",PPIRRU_DispIncr="Top"),PPIRRU_Increments=4),Input!R26,IF(AND(OR(PPIRRU_DispIncr="Both",PPIRRU_DispIncr="Top"),PPIRRU_Increments=3),Z5,IF(AND(OR(PPIRRU_DispIncr="Both",PPIRRU_DispIncr="Top"),PPIRRU_Increments=2),Z4,"")))),0)</f>
        <v>5.8127716923076923E-2</v>
      </c>
      <c r="I7" s="835">
        <f>IFERROR(IF(AND(OR(PPIRRU_DispIncr="Both",PPIRRU_DispIncr="Top"),PPIRRU_Increments=5),Input!S26,IF(AND(OR(PPIRRU_DispIncr="Both",PPIRRU_DispIncr="Top"),PPIRRU_Increments=4),Input!S26,IF(AND(OR(PPIRRU_DispIncr="Both",PPIRRU_DispIncr="Top"),PPIRRU_Increments=3),AA5,IF(AND(OR(PPIRRU_DispIncr="Both",PPIRRU_DispIncr="Top"),PPIRRU_Increments=2),AA4,IF(AND(OR(PPIRRU_DispIncr="Both",PPIRRU_DispIncr="Top"),PPIRRU_Increments=1),AA3,""))))),0)</f>
        <v>1.4994170456654935E-2</v>
      </c>
      <c r="J7" s="835">
        <f>IFERROR(IF(AND(OR(PPIRRU_DispIncr="Both",PPIRRU_DispIncr="Top"),PPIRRU_Increments=5),Input!T26,IF(AND(OR(PPIRRU_DispIncr="Both",PPIRRU_DispIncr="Top"),PPIRRU_Increments=4),Input!T26,IF(AND(OR(PPIRRU_DispIncr="Both",PPIRRU_DispIncr="Top"),PPIRRU_Increments=3),AB5,IF(AND(OR(PPIRRU_DispIncr="Both",PPIRRU_DispIncr="Top"),PPIRRU_Increments=2),AB4,IF(AND(OR(PPIRRU_DispIncr="Both",PPIRRU_DispIncr="Top"),PPIRRU_Increments=1),AB3,""))))),0)</f>
        <v>-5.58387487603208E-2</v>
      </c>
      <c r="K7" s="835">
        <f>IFERROR(IF(AND(OR(PPIRRU_DispIncr="Both",PPIRRU_DispIncr="Top"),PPIRRU_Increments=5),Input!U26,IF(AND(OR(PPIRRU_DispIncr="Both",PPIRRU_DispIncr="Top"),PPIRRU_Increments=4),Input!U26,IF(AND(OR(PPIRRU_DispIncr="Both",PPIRRU_DispIncr="Top"),PPIRRU_Increments=3),AC5,IF(AND(OR(PPIRRU_DispIncr="Both",PPIRRU_DispIncr="Top"),PPIRRU_Increments=2),AC4,IF(AND(OR(PPIRRU_DispIncr="Both",PPIRRU_DispIncr="Top"),PPIRRU_Increments=1),AC3,""))))),0)</f>
        <v>0</v>
      </c>
      <c r="L7" s="886">
        <f>IFERROR(IF(AND(OR(PPIRRU_DispIncr="Both",PPIRRU_DispIncr="Top"),PPIRRU_Increments=5),Input!W26,IF(AND(OR(PPIRRU_DispIncr="Both",PPIRRU_DispIncr="Top"),PPIRRU_Increments=4),Input!W26,IF(AND(OR(PPIRRU_DispIncr="Both",PPIRRU_DispIncr="Top"),PPIRRU_Increments=3),AE5,IF(AND(OR(PPIRRU_DispIncr="Both",PPIRRU_DispIncr="Top"),PPIRRU_Increments=2),AE4,"")))),0)</f>
        <v>361111.11111111112</v>
      </c>
      <c r="M7" s="914">
        <f>IFERROR(IF(AND(OR(PPIRRU_DispIncr="Both",PPIRRU_DispIncr="Top"),PPIRRU_Increments=5),Input!X26,IF(AND(OR(PPIRRU_DispIncr="Both",PPIRRU_DispIncr="Top"),PPIRRU_Increments=4),Input!X26,IF(AND(OR(PPIRRU_DispIncr="Both",PPIRRU_DispIncr="Top"),PPIRRU_Increments=3),AF5,IF(AND(OR(PPIRRU_DispIncr="Both",PPIRRU_DispIncr="Top"),PPIRRU_Increments=2),AF4,"")))),0)</f>
        <v>11.101243339253996</v>
      </c>
      <c r="N7" s="860"/>
      <c r="O7" s="856"/>
      <c r="P7" s="856"/>
      <c r="Q7" s="859"/>
      <c r="R7" s="859"/>
      <c r="S7" s="859"/>
      <c r="T7" s="859"/>
      <c r="U7" s="861"/>
      <c r="V7" s="565"/>
      <c r="W7" s="565"/>
      <c r="X7" s="576"/>
      <c r="Y7" s="576"/>
      <c r="Z7" s="576"/>
      <c r="AA7" s="576"/>
      <c r="AB7" s="576"/>
      <c r="AC7" s="576"/>
      <c r="AD7" s="576"/>
      <c r="AE7" s="576"/>
      <c r="AF7" s="576"/>
      <c r="AG7" s="565"/>
    </row>
    <row r="8" spans="1:33" ht="11.25" customHeight="1">
      <c r="A8" s="854"/>
      <c r="B8" s="854"/>
      <c r="C8" s="854"/>
      <c r="D8" s="1629">
        <f ca="1">IF(PPIRRU_DispIncr="Top",OFFSET(F11,-PPIRRU_Increments,0),IF(PPIRRU_DispIncr="Bottom",F11,IF(PPIRRU_DispIncr="Both",OFFSET(F11,-PPIRRU_Increments,0),"")))</f>
        <v>9850000</v>
      </c>
      <c r="E8" s="860"/>
      <c r="F8" s="915">
        <f>IF(AND(OR(PPIRRU_DispIncr="Both",PPIRRU_DispIncr="Top"),PPIRRU_Increments=5),3*Input!$B$34+Price,IF(AND(OR(PPIRRU_DispIncr="Both",PPIRRU_DispIncr="Top"),PPIRRU_Increments=4),3*Input!$B$34+Price,IF(AND(OR(PPIRRU_DispIncr="Both",PPIRRU_DispIncr="Top"),PPIRRU_Increments=3),3*Input!$B$34+Price,IF(AND(OR(PPIRRU_DispIncr="Both",PPIRRU_DispIncr="Top"),PPIRRU_Increments=2),X5,IF(AND(OR(PPIRRU_DispIncr="Both",PPIRRU_DispIncr="Top"),PPIRRU_Increments=1),X4,"")))))</f>
        <v>9650000</v>
      </c>
      <c r="G8" s="916">
        <f>IFERROR(IF(AND(OR(PPIRRU_DispIncr="Both",PPIRRU_DispIncr="Top"),PPIRRU_Increments=5),'Pricing Detail'!$N$13/'Proposal Price IRR'!F8,IF(AND(OR(PPIRRU_DispIncr="Both",PPIRRU_DispIncr="Top"),PPIRRU_Increments=4),'Pricing Detail'!$N$13/'Proposal Price IRR'!F8,IF(AND(OR(PPIRRU_DispIncr="Both",PPIRRU_DispIncr="Top"),PPIRRU_Increments=3),'Pricing Detail'!$N$13/'Proposal Price IRR'!F8,IF(AND(OR(PPIRRU_DispIncr="Both",PPIRRU_DispIncr="Top"),PPIRRU_Increments=2),Y5,IF(AND(OR(PPIRRU_DispIncr="Both",PPIRRU_DispIncr="Top"),PPIRRU_Increments=1),Y4,""))))),0)</f>
        <v>4.6200627564766839E-2</v>
      </c>
      <c r="H8" s="916">
        <f>IFERROR(IF(AND(OR(PPIRRU_DispIncr="Both",PPIRRU_DispIncr="Top"),PPIRRU_Increments=5),Input!R27,IF(AND(OR(PPIRRU_DispIncr="Both",PPIRRU_DispIncr="Top"),PPIRRU_Increments=4),Input!R27,IF(AND(OR(PPIRRU_DispIncr="Both",PPIRRU_DispIncr="Top"),PPIRRU_Increments=3),Input!R27,IF(AND(OR(PPIRRU_DispIncr="Both",PPIRRU_DispIncr="Top"),PPIRRU_Increments=2),Z5,IF(AND(OR(PPIRRU_DispIncr="Both",PPIRRU_DispIncr="Top"),PPIRRU_Increments=1),Z4,""))))),0)</f>
        <v>5.8847175129533677E-2</v>
      </c>
      <c r="I8" s="916">
        <f>IFERROR(IF(AND(OR(PPIRRU_DispIncr="Both",PPIRRU_DispIncr="Top"),PPIRRU_Increments=5),Input!S27,IF(AND(OR(PPIRRU_DispIncr="Both",PPIRRU_DispIncr="Top"),PPIRRU_Increments=4),Input!S27,IF(AND(OR(PPIRRU_DispIncr="Both",PPIRRU_DispIncr="Top"),PPIRRU_Increments=3),Input!S27,IF(AND(OR(PPIRRU_DispIncr="Both",PPIRRU_DispIncr="Top"),PPIRRU_Increments=2),AA5,IF(AND(OR(PPIRRU_DispIncr="Both",PPIRRU_DispIncr="Top"),PPIRRU_Increments=1),AA4,IF(AND(OR(PPIRRU_DispIncr="Both",PPIRRU_DispIncr="Top"),PPIRRU_Increments=0),AA3,IF(PPIRRU_DispIncr="Bottom",AA3,""))))))),0)</f>
        <v>1.6296719339343953E-2</v>
      </c>
      <c r="J8" s="916">
        <f>IFERROR(IF(AND(OR(PPIRRU_DispIncr="Both",PPIRRU_DispIncr="Top"),PPIRRU_Increments=5),Input!T27,IF(AND(OR(PPIRRU_DispIncr="Both",PPIRRU_DispIncr="Top"),PPIRRU_Increments=4),Input!T27,IF(AND(OR(PPIRRU_DispIncr="Both",PPIRRU_DispIncr="Top"),PPIRRU_Increments=3),Input!T27,IF(AND(OR(PPIRRU_DispIncr="Both",PPIRRU_DispIncr="Top"),PPIRRU_Increments=2),AB5,IF(AND(OR(PPIRRU_DispIncr="Both",PPIRRU_DispIncr="Top"),PPIRRU_Increments=1),AB4,IF(AND(OR(PPIRRU_DispIncr="Both",PPIRRU_DispIncr="Top"),PPIRRU_Increments=0),AB3,IF(PPIRRU_DispIncr="Bottom",AB3,""))))))),0)</f>
        <v>-5.4018985007766362E-2</v>
      </c>
      <c r="K8" s="916">
        <f>IFERROR(IF(AND(OR(PPIRRU_DispIncr="Both",PPIRRU_DispIncr="Top"),PPIRRU_Increments=5),Input!U27,IF(AND(OR(PPIRRU_DispIncr="Both",PPIRRU_DispIncr="Top"),PPIRRU_Increments=4),Input!U27,IF(AND(OR(PPIRRU_DispIncr="Both",PPIRRU_DispIncr="Top"),PPIRRU_Increments=3),Input!U27,IF(AND(OR(PPIRRU_DispIncr="Both",PPIRRU_DispIncr="Top"),PPIRRU_Increments=2),AC5,IF(AND(OR(PPIRRU_DispIncr="Both",PPIRRU_DispIncr="Top"),PPIRRU_Increments=1),AC4,IF(AND(OR(PPIRRU_DispIncr="Both",PPIRRU_DispIncr="Top"),PPIRRU_Increments=0),AC3,IF(PPIRRU_DispIncr="Bottom",AC3,""))))))),0)</f>
        <v>0</v>
      </c>
      <c r="L8" s="915">
        <f>IFERROR(IF(AND(OR(PPIRRU_DispIncr="Both",PPIRRU_DispIncr="Top"),PPIRRU_Increments=5),Input!W27,IF(AND(OR(PPIRRU_DispIncr="Both",PPIRRU_DispIncr="Top"),PPIRRU_Increments=4),Input!W27,IF(AND(OR(PPIRRU_DispIncr="Both",PPIRRU_DispIncr="Top"),PPIRRU_Increments=3),Input!W27,IF(AND(OR(PPIRRU_DispIncr="Both",PPIRRU_DispIncr="Top"),PPIRRU_Increments=2),AE5,IF(AND(OR(PPIRRU_DispIncr="Both",PPIRRU_DispIncr="Top"),PPIRRU_Increments=1),AE4,""))))),0)</f>
        <v>357407.40740740742</v>
      </c>
      <c r="M8" s="917">
        <f>IFERROR(IF(AND(OR(PPIRRU_DispIncr="Both",PPIRRU_DispIncr="Top"),PPIRRU_Increments=5),Input!X27,IF(AND(OR(PPIRRU_DispIncr="Both",PPIRRU_DispIncr="Top"),PPIRRU_Increments=4),Input!X27,IF(AND(OR(PPIRRU_DispIncr="Both",PPIRRU_DispIncr="Top"),PPIRRU_Increments=3),Input!X27,IF(AND(OR(PPIRRU_DispIncr="Both",PPIRRU_DispIncr="Top"),PPIRRU_Increments=2),AF5,IF(AND(OR(PPIRRU_DispIncr="Both",PPIRRU_DispIncr="Top"),PPIRRU_Increments=1),AF4,""))))),0)</f>
        <v>10.987384433210366</v>
      </c>
      <c r="N8" s="860"/>
      <c r="O8" s="860"/>
      <c r="P8" s="860"/>
      <c r="Q8" s="854"/>
      <c r="R8" s="854"/>
      <c r="S8" s="854"/>
      <c r="T8" s="854"/>
      <c r="U8" s="858"/>
      <c r="V8" s="564"/>
      <c r="W8" s="564"/>
      <c r="X8" s="564"/>
      <c r="Y8" s="564"/>
      <c r="Z8" s="564"/>
      <c r="AA8" s="564"/>
      <c r="AB8" s="564"/>
      <c r="AC8" s="564"/>
      <c r="AD8" s="564"/>
      <c r="AE8" s="564"/>
      <c r="AF8" s="564"/>
      <c r="AG8" s="564"/>
    </row>
    <row r="9" spans="1:33" ht="11.25" customHeight="1">
      <c r="A9" s="854"/>
      <c r="B9" s="854"/>
      <c r="C9" s="854"/>
      <c r="D9" s="1629"/>
      <c r="E9" s="860"/>
      <c r="F9" s="915">
        <f>IF(AND(OR(PPIRRU_DispIncr="Both",PPIRRU_DispIncr="Top"),PPIRRU_Increments=5),2*Input!$B$34+Price,IF(AND(OR(PPIRRU_DispIncr="Both",PPIRRU_DispIncr="Top"),PPIRRU_Increments=4),2*Input!$B$34+Price,IF(AND(OR(PPIRRU_DispIncr="Both",PPIRRU_DispIncr="Top"),PPIRRU_Increments=3),2*Input!$B$34+Price,IF(AND(OR(PPIRRU_DispIncr="Both",PPIRRU_DispIncr="Top"),PPIRRU_Increments=2),2*Input!$B$34+Price,IF(AND(OR(PPIRRU_DispIncr="Both",PPIRRU_DispIncr="Top"),PPIRRU_Increments=1),X5,IF(AND(OR(PPIRRU_DispIncr="Both",PPIRRU_DispIncr="Top"),PPIRRU_Increments=0),X4,IF(PPIRRU_DispIncr="Bottom",X4,"")))))))</f>
        <v>9550000</v>
      </c>
      <c r="G9" s="916">
        <f>IFERROR(IF(AND(OR(PPIRRU_DispIncr="Both",PPIRRU_DispIncr="Top"),PPIRRU_Increments=5),'Pricing Detail'!$N$13/'Proposal Price IRR'!F9,IF(AND(OR(PPIRRU_DispIncr="Both",PPIRRU_DispIncr="Top"),PPIRRU_Increments=4),'Pricing Detail'!$N$13/'Proposal Price IRR'!F9,IF(AND(OR(PPIRRU_DispIncr="Both",PPIRRU_DispIncr="Top"),PPIRRU_Increments=3),'Pricing Detail'!$N$13/'Proposal Price IRR'!F9,IF(AND(OR(PPIRRU_DispIncr="Both",PPIRRU_DispIncr="Top"),PPIRRU_Increments=2),'Pricing Detail'!$N$13/'Proposal Price IRR'!F9,IF(AND(OR(PPIRRU_DispIncr="Both",PPIRRU_DispIncr="Top"),PPIRRU_Increments=1),Y5,IF(AND(OR(PPIRRU_DispIncr="Both",PPIRRU_DispIncr="Top"),PPIRRU_Increments=0),Y4,IF(PPIRRU_DispIncr="Bottom",Y4,""))))))),0)</f>
        <v>4.6684403769633509E-2</v>
      </c>
      <c r="H9" s="916">
        <f>IFERROR(IF(AND(OR(PPIRRU_DispIncr="Both",PPIRRU_DispIncr="Top"),PPIRRU_Increments=5),Input!R28,IF(AND(OR(PPIRRU_DispIncr="Both",PPIRRU_DispIncr="Top"),PPIRRU_Increments=4),Input!R28,IF(AND(OR(PPIRRU_DispIncr="Both",PPIRRU_DispIncr="Top"),PPIRRU_Increments=3),Input!R28,IF(AND(OR(PPIRRU_DispIncr="Both",PPIRRU_DispIncr="Top"),PPIRRU_Increments=2),Input!R28,IF(AND(OR(PPIRRU_DispIncr="Both",PPIRRU_DispIncr="Top"),PPIRRU_Increments=1),Z5,IF(AND(OR(PPIRRU_DispIncr="Both",PPIRRU_DispIncr="Top"),PPIRRU_Increments=0),Z4,IF(PPIRRU_DispIncr="Bottom",Z4,""))))))),0)</f>
        <v>5.958170052356021E-2</v>
      </c>
      <c r="I9" s="916">
        <f>IFERROR(IF(AND(OR(PPIRRU_DispIncr="Both",PPIRRU_DispIncr="Top"),PPIRRU_Increments=5),Input!S28,IF(AND(OR(PPIRRU_DispIncr="Both",PPIRRU_DispIncr="Top"),PPIRRU_Increments=4),Input!S28,IF(AND(OR(PPIRRU_DispIncr="Both",PPIRRU_DispIncr="Top"),PPIRRU_Increments=3),Input!S28,IF(AND(OR(PPIRRU_DispIncr="Both",PPIRRU_DispIncr="Top"),PPIRRU_Increments=2),Input!S28,IF(AND(OR(PPIRRU_DispIncr="Both",PPIRRU_DispIncr="Top"),PPIRRU_Increments=1),AA5,IF(AND(OR(PPIRRU_DispIncr="Both",PPIRRU_DispIncr="Top"),PPIRRU_Increments=0),AA4,IF(PPIRRU_DispIncr="Bottom",AA4,""))))))),0)</f>
        <v>1.7626546732665171E-2</v>
      </c>
      <c r="J9" s="916">
        <f>IFERROR(IF(AND(OR(PPIRRU_DispIncr="Both",PPIRRU_DispIncr="Top"),PPIRRU_Increments=5),Input!T28,IF(AND(OR(PPIRRU_DispIncr="Both",PPIRRU_DispIncr="Top"),PPIRRU_Increments=4),Input!T28,IF(AND(OR(PPIRRU_DispIncr="Both",PPIRRU_DispIncr="Top"),PPIRRU_Increments=3),Input!T28,IF(AND(OR(PPIRRU_DispIncr="Both",PPIRRU_DispIncr="Top"),PPIRRU_Increments=2),Input!T28,IF(AND(OR(PPIRRU_DispIncr="Both",PPIRRU_DispIncr="Top"),PPIRRU_Increments=1),AB5,IF(AND(OR(PPIRRU_DispIncr="Both",PPIRRU_DispIncr="Top"),PPIRRU_Increments=0),AB4,IF(PPIRRU_DispIncr="Bottom",AB4,""))))))),0)</f>
        <v>-5.2175375347369601E-2</v>
      </c>
      <c r="K9" s="918">
        <f>IFERROR(IF(AND(OR(PPIRRU_DispIncr="Both",PPIRRU_DispIncr="Top"),PPIRRU_Increments=5),Input!U28,IF(AND(OR(PPIRRU_DispIncr="Both",PPIRRU_DispIncr="Top"),PPIRRU_Increments=4),Input!U28,IF(AND(OR(PPIRRU_DispIncr="Both",PPIRRU_DispIncr="Top"),PPIRRU_Increments=3),Input!U28,IF(AND(OR(PPIRRU_DispIncr="Both",PPIRRU_DispIncr="Top"),PPIRRU_Increments=2),Input!U28,IF(AND(OR(PPIRRU_DispIncr="Both",PPIRRU_DispIncr="Top"),PPIRRU_Increments=1),AD5,IF(AND(OR(PPIRRU_DispIncr="Both",PPIRRU_DispIncr="Top"),PPIRRU_Increments=0),AD4,IF(PPIRRU_DispIncr="Bottom",AD4,""))))))),0)</f>
        <v>0</v>
      </c>
      <c r="L9" s="915">
        <f>IFERROR(IF(AND(OR(PPIRRU_DispIncr="Both",PPIRRU_DispIncr="Top"),PPIRRU_Increments=5),Input!W28,IF(AND(OR(PPIRRU_DispIncr="Both",PPIRRU_DispIncr="Top"),PPIRRU_Increments=4),Input!W28,IF(AND(OR(PPIRRU_DispIncr="Both",PPIRRU_DispIncr="Top"),PPIRRU_Increments=3),Input!W28,IF(AND(OR(PPIRRU_DispIncr="Both",PPIRRU_DispIncr="Top"),PPIRRU_Increments=2),Input!W28,IF(AND(OR(PPIRRU_DispIncr="Both",PPIRRU_DispIncr="Top"),PPIRRU_Increments=1),AE5,IF(AND(OR(PPIRRU_DispIncr="Both",PPIRRU_DispIncr="Top"),PPIRRU_Increments=0),AE4,IF(PPIRRU_DispIncr="Bottom",AE4,""))))))),0)</f>
        <v>353703.70370370371</v>
      </c>
      <c r="M9" s="917">
        <f>IFERROR(IF(AND(OR(PPIRRU_DispIncr="Both",PPIRRU_DispIncr="Top"),PPIRRU_Increments=5),Input!X28,IF(AND(OR(PPIRRU_DispIncr="Both",PPIRRU_DispIncr="Top"),PPIRRU_Increments=4),Input!X28,IF(AND(OR(PPIRRU_DispIncr="Both",PPIRRU_DispIncr="Top"),PPIRRU_Increments=3),Input!X28,IF(AND(OR(PPIRRU_DispIncr="Both",PPIRRU_DispIncr="Top"),PPIRRU_Increments=2),Input!X28,IF(AND(OR(PPIRRU_DispIncr="Both",PPIRRU_DispIncr="Top"),PPIRRU_Increments=1),AF5,IF(AND(OR(PPIRRU_DispIncr="Both",PPIRRU_DispIncr="Top"),PPIRRU_Increments=0),AF4,IF(PPIRRU_DispIncr="Bottom",AF4,""))))))),0)</f>
        <v>10.873525527166734</v>
      </c>
      <c r="N9" s="854"/>
      <c r="O9" s="860"/>
      <c r="P9" s="860"/>
      <c r="Q9" s="854"/>
      <c r="R9" s="854"/>
      <c r="S9" s="854"/>
      <c r="T9" s="854"/>
      <c r="U9" s="858"/>
      <c r="V9" s="564"/>
      <c r="W9" s="564"/>
      <c r="X9" s="564"/>
      <c r="Y9" s="564"/>
      <c r="Z9" s="564"/>
      <c r="AA9" s="564"/>
      <c r="AB9" s="564"/>
      <c r="AC9" s="564"/>
      <c r="AD9" s="564"/>
      <c r="AE9" s="564"/>
      <c r="AF9" s="564"/>
      <c r="AG9" s="564"/>
    </row>
    <row r="10" spans="1:33" ht="11.25" customHeight="1">
      <c r="A10" s="854"/>
      <c r="B10" s="854"/>
      <c r="C10" s="854"/>
      <c r="D10" s="1629"/>
      <c r="E10" s="860"/>
      <c r="F10" s="915">
        <f>IF(AND(OR(PPIRRU_DispIncr="Both",PPIRRU_DispIncr="Top"),PPIRRU_Increments=5),Input!$B$34+Price,IF(AND(OR(PPIRRU_DispIncr="Both",PPIRRU_DispIncr="Top"),PPIRRU_Increments=4),Input!$B$34+Price,IF(AND(OR(PPIRRU_DispIncr="Both",PPIRRU_DispIncr="Top"),PPIRRU_Increments=3),Input!$B$34+Price,IF(AND(OR(PPIRRU_DispIncr="Both",PPIRRU_DispIncr="Top"),PPIRRU_Increments=2),Input!$B$34+Price,IF(AND(OR(PPIRRU_DispIncr="Both",PPIRRU_DispIncr="Top"),PPIRRU_Increments=1),Input!$B$34+Price,IF(AND(OR(PPIRRU_DispIncr="Both",PPIRRU_DispIncr="Top"),PPIRRU_Increments=0),X5,IF(PPIRRU_DispIncr="Bottom",X5,"")))))))</f>
        <v>9450000</v>
      </c>
      <c r="G10" s="916">
        <f>IFERROR(IF(AND(OR(PPIRRU_DispIncr="Both",PPIRRU_DispIncr="Top"),PPIRRU_Increments=5),'Pricing Detail'!$N$13/'Proposal Price IRR'!F10,IF(AND(OR(PPIRRU_DispIncr="Both",PPIRRU_DispIncr="Top"),PPIRRU_Increments=4),'Pricing Detail'!$N$13/'Proposal Price IRR'!F10,IF(AND(OR(PPIRRU_DispIncr="Both",PPIRRU_DispIncr="Top"),PPIRRU_Increments=3),'Pricing Detail'!$N$13/'Proposal Price IRR'!F10,IF(AND(OR(PPIRRU_DispIncr="Both",PPIRRU_DispIncr="Top"),PPIRRU_Increments=2),'Pricing Detail'!$N$13/'Proposal Price IRR'!F10,IF(AND(OR(PPIRRU_DispIncr="Both",PPIRRU_DispIncr="Top"),PPIRRU_Increments=1),'Pricing Detail'!$N$13/'Proposal Price IRR'!F10,IF(AND(OR(PPIRRU_DispIncr="Both",PPIRRU_DispIncr="Top"),PPIRRU_Increments=0),Y5,IF(PPIRRU_DispIncr="Bottom",Y5,""))))))),0)</f>
        <v>4.7178418624338622E-2</v>
      </c>
      <c r="H10" s="916">
        <f>IFERROR(IF(AND(OR(PPIRRU_DispIncr="Both",PPIRRU_DispIncr="Top"),PPIRRU_Increments=5),Input!R29,IF(AND(OR(PPIRRU_DispIncr="Both",PPIRRU_DispIncr="Top"),PPIRRU_Increments=4),Input!R29,IF(AND(OR(PPIRRU_DispIncr="Both",PPIRRU_DispIncr="Top"),PPIRRU_Increments=3),Input!R29,IF(AND(OR(PPIRRU_DispIncr="Both",PPIRRU_DispIncr="Top"),PPIRRU_Increments=2),Input!R29,IF(AND(OR(PPIRRU_DispIncr="Both",PPIRRU_DispIncr="Top"),PPIRRU_Increments=1),Input!R29,IF(AND(OR(PPIRRU_DispIncr="Both",PPIRRU_DispIncr="Top"),PPIRRU_Increments=0),Z5,IF(PPIRRU_DispIncr="Bottom",Z5,""))))))),0)</f>
        <v>6.0331771428571428E-2</v>
      </c>
      <c r="I10" s="916">
        <f>IFERROR(IF(AND(OR(PPIRRU_DispIncr="Both",PPIRRU_DispIncr="Top"),PPIRRU_Increments=5),Input!S29,IF(AND(OR(PPIRRU_DispIncr="Both",PPIRRU_DispIncr="Top"),PPIRRU_Increments=4),Input!S29,IF(AND(OR(PPIRRU_DispIncr="Both",PPIRRU_DispIncr="Top"),PPIRRU_Increments=3),Input!S29,IF(AND(OR(PPIRRU_DispIncr="Both",PPIRRU_DispIncr="Top"),PPIRRU_Increments=2),Input!S29,IF(AND(OR(PPIRRU_DispIncr="Both",PPIRRU_DispIncr="Top"),PPIRRU_Increments=1),Input!S29,IF(AND(OR(PPIRRU_DispIncr="Both",PPIRRU_DispIncr="Top"),PPIRRU_Increments=0),AA5,IF(PPIRRU_DispIncr="Bottom",AA5,""))))))),0)</f>
        <v>1.8984518621083121E-2</v>
      </c>
      <c r="J10" s="916">
        <f>IFERROR(IF(AND(OR(PPIRRU_DispIncr="Both",PPIRRU_DispIncr="Top"),PPIRRU_Increments=5),Input!T29,IF(AND(OR(PPIRRU_DispIncr="Both",PPIRRU_DispIncr="Top"),PPIRRU_Increments=4),Input!T29,IF(AND(OR(PPIRRU_DispIncr="Both",PPIRRU_DispIncr="Top"),PPIRRU_Increments=3),Input!T29,IF(AND(OR(PPIRRU_DispIncr="Both",PPIRRU_DispIncr="Top"),PPIRRU_Increments=2),Input!T29,IF(AND(OR(PPIRRU_DispIncr="Both",PPIRRU_DispIncr="Top"),PPIRRU_Increments=1),Input!T29,IF(AND(OR(PPIRRU_DispIncr="Both",PPIRRU_DispIncr="Top"),PPIRRU_Increments=0),AB5,IF(PPIRRU_DispIncr="Bottom",AB5,""))))))),0)</f>
        <v>-5.0307288615782819E-2</v>
      </c>
      <c r="K10" s="918">
        <f>IFERROR(IF(AND(OR(PPIRRU_DispIncr="Both",PPIRRU_DispIncr="Top"),PPIRRU_Increments=5),Input!U29,IF(AND(OR(PPIRRU_DispIncr="Both",PPIRRU_DispIncr="Top"),PPIRRU_Increments=4),Input!U29,IF(AND(OR(PPIRRU_DispIncr="Both",PPIRRU_DispIncr="Top"),PPIRRU_Increments=3),Input!U29,IF(AND(OR(PPIRRU_DispIncr="Both",PPIRRU_DispIncr="Top"),PPIRRU_Increments=2),Input!U29,IF(AND(OR(PPIRRU_DispIncr="Both",PPIRRU_DispIncr="Top"),PPIRRU_Increments=1),Input!U29,IF(AND(OR(PPIRRU_DispIncr="Both",PPIRRU_DispIncr="Top"),PPIRRU_Increments=0),AD5,IF(PPIRRU_DispIncr="Bottom",AD5,""))))))),0)</f>
        <v>0</v>
      </c>
      <c r="L10" s="915">
        <f>IFERROR(IF(AND(OR(PPIRRU_DispIncr="Both",PPIRRU_DispIncr="Top"),PPIRRU_Increments=5),Input!W29,IF(AND(OR(PPIRRU_DispIncr="Both",PPIRRU_DispIncr="Top"),PPIRRU_Increments=4),Input!W29,IF(AND(OR(PPIRRU_DispIncr="Both",PPIRRU_DispIncr="Top"),PPIRRU_Increments=3),Input!W29,IF(AND(OR(PPIRRU_DispIncr="Both",PPIRRU_DispIncr="Top"),PPIRRU_Increments=2),Input!W29,IF(AND(OR(PPIRRU_DispIncr="Both",PPIRRU_DispIncr="Top"),PPIRRU_Increments=1),Input!W29,IF(AND(OR(PPIRRU_DispIncr="Both",PPIRRU_DispIncr="Top"),PPIRRU_Increments=0),AE5,IF(PPIRRU_DispIncr="Bottom",AE5,""))))))),0)</f>
        <v>350000</v>
      </c>
      <c r="M10" s="917">
        <f>IFERROR(IF(AND(OR(PPIRRU_DispIncr="Both",PPIRRU_DispIncr="Top"),PPIRRU_Increments=5),Input!X29,IF(AND(OR(PPIRRU_DispIncr="Both",PPIRRU_DispIncr="Top"),PPIRRU_Increments=4),Input!X29,IF(AND(OR(PPIRRU_DispIncr="Both",PPIRRU_DispIncr="Top"),PPIRRU_Increments=3),Input!X29,IF(AND(OR(PPIRRU_DispIncr="Both",PPIRRU_DispIncr="Top"),PPIRRU_Increments=2),Input!X29,IF(AND(OR(PPIRRU_DispIncr="Both",PPIRRU_DispIncr="Top"),PPIRRU_Increments=1),Input!X29,IF(AND(OR(PPIRRU_DispIncr="Both",PPIRRU_DispIncr="Top"),PPIRRU_Increments=0),AF5,IF(PPIRRU_DispIncr="Bottom",AF5,""))))))),0)</f>
        <v>10.759666621123104</v>
      </c>
      <c r="N10" s="854"/>
      <c r="O10" s="854"/>
      <c r="P10" s="860"/>
      <c r="Q10" s="854"/>
      <c r="R10" s="854"/>
      <c r="S10" s="854"/>
      <c r="T10" s="854"/>
      <c r="U10" s="858"/>
      <c r="V10" s="564"/>
      <c r="W10" s="564"/>
      <c r="X10" s="564"/>
      <c r="Y10" s="564"/>
      <c r="Z10" s="564"/>
      <c r="AA10" s="564"/>
      <c r="AB10" s="564"/>
      <c r="AC10" s="564"/>
      <c r="AD10" s="564"/>
      <c r="AE10" s="564"/>
      <c r="AF10" s="564"/>
      <c r="AG10" s="564"/>
    </row>
    <row r="11" spans="1:33" ht="11.25" customHeight="1">
      <c r="A11" s="854"/>
      <c r="B11" s="854"/>
      <c r="C11" s="854"/>
      <c r="D11" s="926" t="s">
        <v>1837</v>
      </c>
      <c r="E11" s="860"/>
      <c r="F11" s="919">
        <f>Input!C9</f>
        <v>9350000</v>
      </c>
      <c r="G11" s="920">
        <f>IFERROR('Pricing Detail'!$N$13/'Proposal Price IRR'!F11,0)</f>
        <v>4.7683000641711229E-2</v>
      </c>
      <c r="H11" s="921">
        <f>Input!R30</f>
        <v>6.1097886631016042E-2</v>
      </c>
      <c r="I11" s="920">
        <f>Input!S30</f>
        <v>2.0371538036526068E-2</v>
      </c>
      <c r="J11" s="920">
        <f>IFERROR(Input!T30,0)</f>
        <v>-4.8414069588595399E-2</v>
      </c>
      <c r="K11" s="922">
        <f>IFERROR(Input!U30,0)</f>
        <v>0</v>
      </c>
      <c r="L11" s="923">
        <f>IFERROR(Input!W30,0)</f>
        <v>346296.29629629629</v>
      </c>
      <c r="M11" s="924">
        <f>IFERROR(Input!X30,0)</f>
        <v>10.645807715079474</v>
      </c>
      <c r="N11" s="854"/>
      <c r="O11" s="854"/>
      <c r="P11" s="860"/>
      <c r="Q11" s="854"/>
      <c r="R11" s="854"/>
      <c r="S11" s="854"/>
      <c r="T11" s="854"/>
      <c r="U11" s="858"/>
      <c r="V11" s="564"/>
      <c r="W11" s="564"/>
      <c r="X11" s="564"/>
      <c r="Y11" s="564"/>
      <c r="Z11" s="564"/>
      <c r="AA11" s="564"/>
      <c r="AB11" s="564"/>
      <c r="AC11" s="564"/>
      <c r="AD11" s="564"/>
      <c r="AE11" s="564"/>
      <c r="AF11" s="564"/>
    </row>
    <row r="12" spans="1:33" ht="11.25" customHeight="1">
      <c r="A12" s="854"/>
      <c r="B12" s="854"/>
      <c r="C12" s="854"/>
      <c r="D12" s="1629">
        <f ca="1">IF(PPIRRU_DispIncr="Top",F11,IF(PPIRRU_DispIncr="Bottom",OFFSET(F11,PPIRRU_Increments,0),IF(PPIRRU_DispIncr="Both",OFFSET(F11,PPIRRU_Increments,0),"")))</f>
        <v>8850000</v>
      </c>
      <c r="E12" s="860"/>
      <c r="F12" s="915">
        <f>IF(AND(OR(PPIRRU_DispIncr="Both",PPIRRU_DispIncr="Bottom"),PPIRRU_Increments=5),-1*Input!$B$34+Price,IF(AND(OR(PPIRRU_DispIncr="Both",PPIRRU_DispIncr="Bottom"),PPIRRU_Increments=4),-1*Input!$B$34+Price,IF(AND(OR(PPIRRU_DispIncr="Both",PPIRRU_DispIncr="Bottom"),PPIRRU_Increments=3),-1*Input!$B$34+Price,IF(AND(OR(PPIRRU_DispIncr="Both",PPIRRU_DispIncr="Bottom"),PPIRRU_Increments=2),-1*Input!$B$34+Price,IF(AND(OR(PPIRRU_DispIncr="Both",PPIRRU_DispIncr="Bottom"),PPIRRU_Increments=1),-1*Input!$B$34+Price,"")))))</f>
        <v>9250000</v>
      </c>
      <c r="G12" s="835">
        <f>IFERROR(IF(AND(OR(PPIRRU_DispIncr="Both",PPIRRU_DispIncr="Bottom"),PPIRRU_Increments=5),'Pricing Detail'!$N$13/'Proposal Price IRR'!F12,IF(AND(OR(PPIRRU_DispIncr="Both",PPIRRU_DispIncr="Bottom"),PPIRRU_Increments=4),'Pricing Detail'!$N$13/'Proposal Price IRR'!F12,IF(AND(OR(PPIRRU_DispIncr="Both",PPIRRU_DispIncr="Bottom"),PPIRRU_Increments=3),'Pricing Detail'!$N$13/'Proposal Price IRR'!F12,IF(AND(OR(PPIRRU_DispIncr="Both",PPIRRU_DispIncr="Bottom"),PPIRRU_Increments=2),'Pricing Detail'!$N$13/'Proposal Price IRR'!F12,IF(AND(OR(PPIRRU_DispIncr="Both",PPIRRU_DispIncr="Bottom"),PPIRRU_Increments=1),'Pricing Detail'!$N$13/'Proposal Price IRR'!F12,""))))),0)</f>
        <v>4.8198492540540538E-2</v>
      </c>
      <c r="H12" s="835">
        <f>IFERROR(IF(AND(OR(PPIRRU_DispIncr="Both",PPIRRU_DispIncr="Bottom"),PPIRRU_Increments=5),Input!R31,IF(AND(OR(PPIRRU_DispIncr="Both",PPIRRU_DispIncr="Bottom"),PPIRRU_Increments=4),Input!R31,IF(AND(OR(PPIRRU_DispIncr="Both",PPIRRU_DispIncr="Bottom"),PPIRRU_Increments=3),Input!R31,IF(AND(OR(PPIRRU_DispIncr="Both",PPIRRU_DispIncr="Bottom"),PPIRRU_Increments=2),Input!R31,IF(AND(OR(PPIRRU_DispIncr="Both",PPIRRU_DispIncr="Bottom"),PPIRRU_Increments=1),Input!R31,""))))),0)</f>
        <v>6.1880566486486488E-2</v>
      </c>
      <c r="I12" s="835">
        <f>IFERROR(IF(AND(OR(PPIRRU_DispIncr="Both",PPIRRU_DispIncr="Bottom"),PPIRRU_Increments=5),Input!S31,IF(AND(OR(PPIRRU_DispIncr="Both",PPIRRU_DispIncr="Bottom"),PPIRRU_Increments=4),Input!S31,IF(AND(OR(PPIRRU_DispIncr="Both",PPIRRU_DispIncr="Bottom"),PPIRRU_Increments=3),Input!S31,IF(AND(OR(PPIRRU_DispIncr="Both",PPIRRU_DispIncr="Bottom"),PPIRRU_Increments=2),Input!S31,IF(AND(OR(PPIRRU_DispIncr="Both",PPIRRU_DispIncr="Bottom"),PPIRRU_Increments=1),Input!S31,""))))),0)</f>
        <v>2.1788547060951582E-2</v>
      </c>
      <c r="J12" s="835">
        <f>IFERROR(IF(AND(OR(PPIRRU_DispIncr="Both",PPIRRU_DispIncr="Bottom"),PPIRRU_Increments=5),Input!T31,IF(AND(OR(PPIRRU_DispIncr="Both",PPIRRU_DispIncr="Bottom"),PPIRRU_Increments=4),Input!T31,IF(AND(OR(PPIRRU_DispIncr="Both",PPIRRU_DispIncr="Bottom"),PPIRRU_Increments=3),Input!T31,IF(AND(OR(PPIRRU_DispIncr="Both",PPIRRU_DispIncr="Bottom"),PPIRRU_Increments=2),Input!T31,IF(AND(OR(PPIRRU_DispIncr="Both",PPIRRU_DispIncr="Bottom"),PPIRRU_Increments=1),Input!T31,""))))),0)</f>
        <v>-4.6495037772954606E-2</v>
      </c>
      <c r="K12" s="925">
        <f>IFERROR(IF(AND(OR(PPIRRU_DispIncr="Both",PPIRRU_DispIncr="Bottom"),PPIRRU_Increments=5),Input!U31,IF(AND(OR(PPIRRU_DispIncr="Both",PPIRRU_DispIncr="Bottom"),PPIRRU_Increments=4),Input!U31,IF(AND(OR(PPIRRU_DispIncr="Both",PPIRRU_DispIncr="Bottom"),PPIRRU_Increments=3),Input!U31,IF(AND(OR(PPIRRU_DispIncr="Both",PPIRRU_DispIncr="Bottom"),PPIRRU_Increments=2),Input!U31,IF(AND(OR(PPIRRU_DispIncr="Both",PPIRRU_DispIncr="Bottom"),PPIRRU_Increments=1),Input!U31,""))))),0)</f>
        <v>0</v>
      </c>
      <c r="L12" s="886">
        <f>IFERROR(IF(AND(OR(PPIRRU_DispIncr="Both",PPIRRU_DispIncr="Bottom"),PPIRRU_Increments=5),Input!W31,IF(AND(OR(PPIRRU_DispIncr="Both",PPIRRU_DispIncr="Bottom"),PPIRRU_Increments=4),Input!W31,IF(AND(OR(PPIRRU_DispIncr="Both",PPIRRU_DispIncr="Bottom"),PPIRRU_Increments=3),Input!W31,IF(AND(OR(PPIRRU_DispIncr="Both",PPIRRU_DispIncr="Bottom"),PPIRRU_Increments=2),Input!W31,IF(AND(OR(PPIRRU_DispIncr="Both",PPIRRU_DispIncr="Bottom"),PPIRRU_Increments=1),Input!W31,""))))),0)</f>
        <v>342592.59259259258</v>
      </c>
      <c r="M12" s="914">
        <f>IFERROR(IF(AND(OR(PPIRRU_DispIncr="Both",PPIRRU_DispIncr="Bottom"),PPIRRU_Increments=5),Input!X31,IF(AND(OR(PPIRRU_DispIncr="Both",PPIRRU_DispIncr="Bottom"),PPIRRU_Increments=4),Input!X31,IF(AND(OR(PPIRRU_DispIncr="Both",PPIRRU_DispIncr="Bottom"),PPIRRU_Increments=3),Input!X31,IF(AND(OR(PPIRRU_DispIncr="Both",PPIRRU_DispIncr="Bottom"),PPIRRU_Increments=2),Input!X31,IF(AND(OR(PPIRRU_DispIncr="Both",PPIRRU_DispIncr="Bottom"),PPIRRU_Increments=1),Input!X31,""))))),0)</f>
        <v>10.531948809035843</v>
      </c>
      <c r="N12" s="854"/>
      <c r="O12" s="854"/>
      <c r="P12" s="860"/>
      <c r="Q12" s="854"/>
      <c r="R12" s="854"/>
      <c r="S12" s="854"/>
      <c r="T12" s="854"/>
      <c r="U12" s="858"/>
      <c r="V12" s="564"/>
      <c r="W12" s="564"/>
      <c r="X12" s="564"/>
      <c r="Y12" s="564"/>
      <c r="Z12" s="564"/>
      <c r="AA12" s="564"/>
      <c r="AB12" s="564"/>
      <c r="AC12" s="564"/>
      <c r="AD12" s="564"/>
      <c r="AE12" s="564"/>
      <c r="AF12" s="564"/>
    </row>
    <row r="13" spans="1:33" ht="11.25" customHeight="1">
      <c r="A13" s="854"/>
      <c r="B13" s="854"/>
      <c r="C13" s="854"/>
      <c r="D13" s="1629"/>
      <c r="E13" s="860"/>
      <c r="F13" s="886">
        <f>IF(AND(OR(PPIRRU_DispIncr="Both",PPIRRU_DispIncr="Bottom"),PPIRRU_Increments=5),-2*Input!$B$34+Price,IF(AND(OR(PPIRRU_DispIncr="Both",PPIRRU_DispIncr="Bottom"),PPIRRU_Increments=4),-2*Input!$B$34+Price,IF(AND(OR(PPIRRU_DispIncr="Both",PPIRRU_DispIncr="Bottom"),PPIRRU_Increments=3),-2*Input!$B$34+Price,IF(AND(OR(PPIRRU_DispIncr="Both",PPIRRU_DispIncr="Bottom"),PPIRRU_Increments=2),-2*Input!$B$34+Price,""))))</f>
        <v>9150000</v>
      </c>
      <c r="G13" s="835">
        <f>IFERROR(IF(AND(OR(PPIRRU_DispIncr="Both",PPIRRU_DispIncr="Bottom"),PPIRRU_Increments=5),'Pricing Detail'!$N$13/'Proposal Price IRR'!F13,IF(AND(OR(PPIRRU_DispIncr="Both",PPIRRU_DispIncr="Bottom"),PPIRRU_Increments=4),'Pricing Detail'!$N$13/'Proposal Price IRR'!F13,IF(AND(OR(PPIRRU_DispIncr="Both",PPIRRU_DispIncr="Bottom"),PPIRRU_Increments=3),'Pricing Detail'!$N$13/'Proposal Price IRR'!F13,IF(AND(OR(PPIRRU_DispIncr="Both",PPIRRU_DispIncr="Bottom"),PPIRRU_Increments=2),'Pricing Detail'!$N$13/'Proposal Price IRR'!F13,"")))),0)</f>
        <v>4.8725252021857922E-2</v>
      </c>
      <c r="H13" s="835">
        <f>IFERROR(IF(AND(OR(PPIRRU_DispIncr="Both",PPIRRU_DispIncr="Bottom"),PPIRRU_Increments=5),Input!R32,IF(AND(OR(PPIRRU_DispIncr="Both",PPIRRU_DispIncr="Bottom"),PPIRRU_Increments=4),Input!R32,IF(AND(OR(PPIRRU_DispIncr="Both",PPIRRU_DispIncr="Bottom"),PPIRRU_Increments=3),Input!R32,IF(AND(OR(PPIRRU_DispIncr="Both",PPIRRU_DispIncr="Bottom"),PPIRRU_Increments=2),Input!R32,"")))),0)</f>
        <v>6.2680354098360661E-2</v>
      </c>
      <c r="I13" s="835">
        <f>IFERROR(IF(AND(OR(PPIRRU_DispIncr="Both",PPIRRU_DispIncr="Bottom"),PPIRRU_Increments=5),Input!S32,IF(AND(OR(PPIRRU_DispIncr="Both",PPIRRU_DispIncr="Bottom"),PPIRRU_Increments=4),Input!S32,IF(AND(OR(PPIRRU_DispIncr="Both",PPIRRU_DispIncr="Bottom"),PPIRRU_Increments=3),Input!S32,IF(AND(OR(PPIRRU_DispIncr="Both",PPIRRU_DispIncr="Bottom"),PPIRRU_Increments=2),Input!S32,"")))),0)</f>
        <v>2.3236528960227897E-2</v>
      </c>
      <c r="J13" s="835">
        <f>IFERROR(IF(AND(OR(PPIRRU_DispIncr="Both",PPIRRU_DispIncr="Bottom"),PPIRRU_Increments=5),Input!T32,IF(AND(OR(PPIRRU_DispIncr="Both",PPIRRU_DispIncr="Bottom"),PPIRRU_Increments=4),Input!T32,IF(AND(OR(PPIRRU_DispIncr="Both",PPIRRU_DispIncr="Bottom"),PPIRRU_Increments=3),Input!T32,IF(AND(OR(PPIRRU_DispIncr="Both",PPIRRU_DispIncr="Bottom"),PPIRRU_Increments=2),Input!R32,"")))),0)</f>
        <v>-4.4549486124934146E-2</v>
      </c>
      <c r="K13" s="925">
        <f>IFERROR(IF(AND(OR(PPIRRU_DispIncr="Both",PPIRRU_DispIncr="Bottom"),PPIRRU_Increments=5),Input!U32,IF(AND(OR(PPIRRU_DispIncr="Both",PPIRRU_DispIncr="Bottom"),PPIRRU_Increments=4),Input!U32,IF(AND(OR(PPIRRU_DispIncr="Both",PPIRRU_DispIncr="Bottom"),PPIRRU_Increments=3),Input!U32,IF(AND(OR(PPIRRU_DispIncr="Both",PPIRRU_DispIncr="Bottom"),PPIRRU_Increments=2),Input!U32,"")))),0)</f>
        <v>0</v>
      </c>
      <c r="L13" s="886">
        <f>IFERROR(IF(AND(OR(PPIRRU_DispIncr="Both",PPIRRU_DispIncr="Bottom"),PPIRRU_Increments=5),Input!W32,IF(AND(OR(PPIRRU_DispIncr="Both",PPIRRU_DispIncr="Bottom"),PPIRRU_Increments=4),Input!W32,IF(AND(OR(PPIRRU_DispIncr="Both",PPIRRU_DispIncr="Bottom"),PPIRRU_Increments=3),Input!W32,IF(AND(OR(PPIRRU_DispIncr="Both",PPIRRU_DispIncr="Bottom"),PPIRRU_Increments=2),Input!W32,"")))),0)</f>
        <v>338888.88888888888</v>
      </c>
      <c r="M13" s="914">
        <f>IFERROR(IF(AND(OR(PPIRRU_DispIncr="Both",PPIRRU_DispIncr="Bottom"),PPIRRU_Increments=5),Input!X32,IF(AND(OR(PPIRRU_DispIncr="Both",PPIRRU_DispIncr="Bottom"),PPIRRU_Increments=4),Input!X32,IF(AND(OR(PPIRRU_DispIncr="Both",PPIRRU_DispIncr="Bottom"),PPIRRU_Increments=3),Input!X32,IF(AND(OR(PPIRRU_DispIncr="Both",PPIRRU_DispIncr="Bottom"),PPIRRU_Increments=2),Input!X32,"")))),0)</f>
        <v>10.418089902992213</v>
      </c>
      <c r="N13" s="854"/>
      <c r="O13" s="854"/>
      <c r="P13" s="860"/>
      <c r="Q13" s="854"/>
      <c r="R13" s="854"/>
      <c r="S13" s="854"/>
      <c r="T13" s="854"/>
      <c r="U13" s="858"/>
      <c r="V13" s="564"/>
      <c r="W13" s="564"/>
      <c r="X13" s="564"/>
      <c r="Y13" s="564"/>
      <c r="Z13" s="564"/>
      <c r="AA13" s="564"/>
      <c r="AB13" s="564"/>
      <c r="AC13" s="564"/>
      <c r="AD13" s="564"/>
      <c r="AE13" s="564"/>
      <c r="AF13" s="564"/>
    </row>
    <row r="14" spans="1:33" ht="11.25" customHeight="1">
      <c r="A14" s="854"/>
      <c r="B14" s="854"/>
      <c r="C14" s="854"/>
      <c r="D14" s="1629"/>
      <c r="E14" s="860"/>
      <c r="F14" s="886">
        <f>IF(AND(OR(PPIRRU_DispIncr="Both",PPIRRU_DispIncr="Bottom"),PPIRRU_Increments=5),-3*Input!$B$34+Price,IF(AND(OR(PPIRRU_DispIncr="Both",PPIRRU_DispIncr="Bottom"),PPIRRU_Increments=4),-3*Input!$B$34+Price,IF(AND(OR(PPIRRU_DispIncr="Both",PPIRRU_DispIncr="Bottom"),PPIRRU_Increments=3),-3*Input!$B$34+Price,"")))</f>
        <v>9050000</v>
      </c>
      <c r="G14" s="835">
        <f>IFERROR(IF(AND(OR(PPIRRU_DispIncr="Both",PPIRRU_DispIncr="Bottom"),PPIRRU_Increments=5),'Pricing Detail'!$N$13/'Proposal Price IRR'!F14,IF(AND(OR(PPIRRU_DispIncr="Both",PPIRRU_DispIncr="Bottom"),PPIRRU_Increments=4),'Pricing Detail'!$N$13/'Proposal Price IRR'!F14,IF(AND(OR(PPIRRU_DispIncr="Both",PPIRRU_DispIncr="Bottom"),PPIRRU_Increments=3),'Pricing Detail'!$N$13/'Proposal Price IRR'!F14,""))),0)</f>
        <v>4.9263652596685081E-2</v>
      </c>
      <c r="H14" s="835">
        <f>IFERROR(IF(AND(OR(PPIRRU_DispIncr="Both",PPIRRU_DispIncr="Bottom"),PPIRRU_Increments=5),Input!R33,IF(AND(OR(PPIRRU_DispIncr="Both",PPIRRU_DispIncr="Bottom"),PPIRRU_Increments=4),Input!R33,IF(AND(OR(PPIRRU_DispIncr="Both",PPIRRU_DispIncr="Bottom"),PPIRRU_Increments=3),Input!R33,""))),0)</f>
        <v>6.3497816574585628E-2</v>
      </c>
      <c r="I14" s="835">
        <f>IFERROR(IF(AND(OR(PPIRRU_DispIncr="Both",PPIRRU_DispIncr="Bottom"),PPIRRU_Increments=5),Input!S33,IF(AND(OR(PPIRRU_DispIncr="Both",PPIRRU_DispIncr="Bottom"),PPIRRU_Increments=4),Input!S33,IF(AND(OR(PPIRRU_DispIncr="Both",PPIRRU_DispIncr="Bottom"),PPIRRU_Increments=3),Input!S33,""))),0)</f>
        <v>2.4716510459488233E-2</v>
      </c>
      <c r="J14" s="835">
        <f>IFERROR(IF(AND(OR(PPIRRU_DispIncr="Both",PPIRRU_DispIncr="Bottom"),PPIRRU_Increments=5),Input!T33,IF(AND(OR(PPIRRU_DispIncr="Both",PPIRRU_DispIncr="Bottom"),PPIRRU_Increments=4),Input!T33,IF(AND(OR(PPIRRU_DispIncr="Both",PPIRRU_DispIncr="Bottom"),PPIRRU_Increments=3),Input!T33,""))),0)</f>
        <v>-4.25766796860374E-2</v>
      </c>
      <c r="K14" s="925">
        <f>IFERROR(IF(AND(OR(PPIRRU_DispIncr="Both",PPIRRU_DispIncr="Bottom"),PPIRRU_Increments=5),Input!U33,IF(AND(OR(PPIRRU_DispIncr="Both",PPIRRU_DispIncr="Bottom"),PPIRRU_Increments=4),Input!U33,IF(AND(OR(PPIRRU_DispIncr="Both",PPIRRU_DispIncr="Bottom"),PPIRRU_Increments=3),Input!U33,""))),0)</f>
        <v>0</v>
      </c>
      <c r="L14" s="886">
        <f>IFERROR(IF(AND(OR(PPIRRU_DispIncr="Both",PPIRRU_DispIncr="Bottom"),PPIRRU_Increments=5),Input!W33,IF(AND(OR(PPIRRU_DispIncr="Both",PPIRRU_DispIncr="Bottom"),PPIRRU_Increments=4),Input!W33,IF(AND(OR(PPIRRU_DispIncr="Both",PPIRRU_DispIncr="Bottom"),PPIRRU_Increments=3),Input!W33,""))),0)</f>
        <v>335185.18518518517</v>
      </c>
      <c r="M14" s="914">
        <f>IFERROR(IF(AND(OR(PPIRRU_DispIncr="Both",PPIRRU_DispIncr="Bottom"),PPIRRU_Increments=5),Input!X33,IF(AND(OR(PPIRRU_DispIncr="Both",PPIRRU_DispIncr="Bottom"),PPIRRU_Increments=4),Input!X33,IF(AND(OR(PPIRRU_DispIncr="Both",PPIRRU_DispIncr="Bottom"),PPIRRU_Increments=3),Input!X33,""))),0)</f>
        <v>10.304230996948581</v>
      </c>
      <c r="N14" s="854"/>
      <c r="O14" s="854"/>
      <c r="P14" s="860"/>
      <c r="Q14" s="854"/>
      <c r="R14" s="854"/>
      <c r="S14" s="854"/>
      <c r="T14" s="854"/>
      <c r="U14" s="858"/>
      <c r="V14" s="564"/>
      <c r="W14" s="564"/>
      <c r="X14" s="564"/>
      <c r="Y14" s="564"/>
      <c r="Z14" s="564"/>
      <c r="AA14" s="564"/>
      <c r="AB14" s="564"/>
      <c r="AC14" s="564"/>
      <c r="AD14" s="564"/>
      <c r="AE14" s="564"/>
      <c r="AF14" s="564"/>
    </row>
    <row r="15" spans="1:33" ht="11.25" customHeight="1">
      <c r="A15" s="854"/>
      <c r="B15" s="854"/>
      <c r="C15" s="854"/>
      <c r="D15" s="792"/>
      <c r="E15" s="860"/>
      <c r="F15" s="886">
        <f>IF(AND(OR(PPIRRU_DispIncr="Both",PPIRRU_DispIncr="Bottom"),PPIRRU_Increments=5),-4*Input!$B$34+Price,IF(AND(OR(PPIRRU_DispIncr="Both",PPIRRU_DispIncr="Bottom"),PPIRRU_Increments=4),-4*Input!$B$34+Price,""))</f>
        <v>8950000</v>
      </c>
      <c r="G15" s="835">
        <f>IFERROR(IF(AND(OR(PPIRRU_DispIncr="Both",PPIRRU_DispIncr="Bottom"),PPIRRU_Increments=5),'Pricing Detail'!$N$13/'Proposal Price IRR'!F15,IF(AND(OR(PPIRRU_DispIncr="Both",PPIRRU_DispIncr="Bottom"),PPIRRU_Increments=4),'Pricing Detail'!$N$13/'Proposal Price IRR'!F15,"")),0)</f>
        <v>4.9814084469273739E-2</v>
      </c>
      <c r="H15" s="835">
        <f>IFERROR(IF(AND(OR(PPIRRU_DispIncr="Both",PPIRRU_DispIncr="Bottom"),PPIRRU_Increments=5),Input!R34,IF(AND(OR(PPIRRU_DispIncr="Both",PPIRRU_DispIncr="Bottom"),PPIRRU_Increments=4),Input!R34,"")),0)</f>
        <v>6.4333546368715078E-2</v>
      </c>
      <c r="I15" s="835">
        <f>IFERROR(IF(AND(OR(PPIRRU_DispIncr="Both",PPIRRU_DispIncr="Bottom"),PPIRRU_Increments=5),Input!S34,IF(AND(OR(PPIRRU_DispIncr="Both",PPIRRU_DispIncr="Bottom"),PPIRRU_Increments=4),Input!S34,"")),0)</f>
        <v>2.6229564171022512E-2</v>
      </c>
      <c r="J15" s="835">
        <f>IFERROR(IF(AND(OR(PPIRRU_DispIncr="Both",PPIRRU_DispIncr="Bottom"),PPIRRU_Increments=5),Input!T34,IF(AND(OR(PPIRRU_DispIncr="Both",PPIRRU_DispIncr="Bottom"),PPIRRU_Increments=4),Input!T34,"")),0)</f>
        <v>-4.0575854132725131E-2</v>
      </c>
      <c r="K15" s="925">
        <f>IFERROR(IF(AND(OR(PPIRRU_DispIncr="Both",PPIRRU_DispIncr="Bottom"),PPIRRU_Increments=5),Input!U34,IF(AND(OR(PPIRRU_DispIncr="Both",PPIRRU_DispIncr="Bottom"),PPIRRU_Increments=4),Input!U34,"")),0)</f>
        <v>0</v>
      </c>
      <c r="L15" s="886">
        <f>IFERROR(IF(AND(OR(PPIRRU_DispIncr="Both",PPIRRU_DispIncr="Bottom"),PPIRRU_Increments=5),Input!W34,IF(AND(OR(PPIRRU_DispIncr="Both",PPIRRU_DispIncr="Bottom"),PPIRRU_Increments=4),Input!W34,"")),0)</f>
        <v>331481.48148148146</v>
      </c>
      <c r="M15" s="914">
        <f>IFERROR(IF(AND(OR(PPIRRU_DispIncr="Both",PPIRRU_DispIncr="Bottom"),PPIRRU_Increments=5),Input!X34,IF(AND(OR(PPIRRU_DispIncr="Both",PPIRRU_DispIncr="Bottom"),PPIRRU_Increments=4),Input!X34,"")),0)</f>
        <v>10.190372090904951</v>
      </c>
      <c r="N15" s="854"/>
      <c r="O15" s="854"/>
      <c r="P15" s="860"/>
      <c r="Q15" s="854"/>
      <c r="R15" s="854"/>
      <c r="S15" s="854"/>
      <c r="T15" s="854"/>
      <c r="U15" s="858"/>
      <c r="V15" s="564"/>
      <c r="W15" s="564"/>
      <c r="X15" s="564"/>
      <c r="Y15" s="564"/>
      <c r="Z15" s="564"/>
      <c r="AA15" s="564"/>
      <c r="AB15" s="564"/>
      <c r="AC15" s="564"/>
      <c r="AD15" s="564"/>
      <c r="AE15" s="564"/>
      <c r="AF15" s="564"/>
    </row>
    <row r="16" spans="1:33" ht="11.25" customHeight="1">
      <c r="A16" s="854"/>
      <c r="B16" s="854"/>
      <c r="C16" s="854"/>
      <c r="D16" s="792"/>
      <c r="E16" s="862"/>
      <c r="F16" s="886">
        <f>IF(AND(OR(PPIRRU_DispIncr="Both",PPIRRU_DispIncr="Bottom"),PPIRRU_Increments=5),-5*Input!$B$34+Price,"")</f>
        <v>8850000</v>
      </c>
      <c r="G16" s="835">
        <f>IFERROR(IF(AND(OR(PPIRRU_DispIncr="Both",PPIRRU_DispIncr="Bottom"),PPIRRU_Increments=5),'Pricing Detail'!$N$13/'Proposal Price IRR'!F16,""),0)</f>
        <v>5.0376955480225985E-2</v>
      </c>
      <c r="H16" s="835">
        <f>IFERROR(IF(AND(OR(PPIRRU_DispIncr="Both",PPIRRU_DispIncr="Bottom"),PPIRRU_Increments=5),Input!R35,""),0)</f>
        <v>6.5188162711864409E-2</v>
      </c>
      <c r="I16" s="835">
        <f>IFERROR(IF(AND(OR(PPIRRU_DispIncr="Both",PPIRRU_DispIncr="Bottom"),PPIRRU_Increments=5),Input!S35,""),0)</f>
        <v>2.7776811186772301E-2</v>
      </c>
      <c r="J16" s="835">
        <f>IFERROR(IF(AND(OR(PPIRRU_DispIncr="Both",PPIRRU_DispIncr="Bottom"),PPIRRU_Increments=5),Input!T35,""),0)</f>
        <v>-3.8546214232316633E-2</v>
      </c>
      <c r="K16" s="925">
        <f>IFERROR(IF(AND(OR(PPIRRU_DispIncr="Both",PPIRRU_DispIncr="Bottom"),PPIRRU_Increments=5),Input!U35,""),0)</f>
        <v>0</v>
      </c>
      <c r="L16" s="886">
        <f>IFERROR(IF(AND(OR(PPIRRU_DispIncr="Both",PPIRRU_DispIncr="Bottom"),PPIRRU_Increments=5),Input!W35,""),0)</f>
        <v>327777.77777777775</v>
      </c>
      <c r="M16" s="914">
        <f>IFERROR(IF(AND(OR(PPIRRU_DispIncr="Both",PPIRRU_DispIncr="Bottom"),PPIRRU_Increments=5),Input!X35,""),0)</f>
        <v>10.076513184861319</v>
      </c>
      <c r="N16" s="854"/>
      <c r="O16" s="854"/>
      <c r="P16" s="860"/>
      <c r="Q16" s="854"/>
      <c r="R16" s="854"/>
      <c r="S16" s="854"/>
      <c r="T16" s="854"/>
      <c r="U16" s="854"/>
    </row>
    <row r="17" spans="1:21" ht="11.25" customHeight="1">
      <c r="A17" s="854"/>
      <c r="B17" s="854"/>
      <c r="C17" s="854"/>
      <c r="D17" s="598"/>
      <c r="E17" s="862"/>
      <c r="F17" s="863"/>
      <c r="G17" s="863"/>
      <c r="H17" s="864"/>
      <c r="I17" s="864"/>
      <c r="J17" s="864"/>
      <c r="K17" s="864"/>
      <c r="L17" s="865"/>
      <c r="M17" s="863"/>
      <c r="N17" s="854"/>
      <c r="O17" s="854"/>
      <c r="P17" s="860"/>
      <c r="Q17" s="854"/>
      <c r="R17" s="854"/>
      <c r="S17" s="854"/>
      <c r="T17" s="854"/>
      <c r="U17" s="854"/>
    </row>
    <row r="18" spans="1:21" ht="11.25" customHeight="1">
      <c r="A18" s="854"/>
      <c r="B18" s="854"/>
      <c r="C18" s="854"/>
      <c r="D18" s="598"/>
      <c r="E18" s="862"/>
      <c r="F18" s="863"/>
      <c r="G18" s="863"/>
      <c r="H18" s="864"/>
      <c r="I18" s="864"/>
      <c r="J18" s="864"/>
      <c r="K18" s="864"/>
      <c r="L18" s="865"/>
      <c r="M18" s="863"/>
      <c r="N18" s="854"/>
      <c r="O18" s="854"/>
      <c r="P18" s="860"/>
      <c r="Q18" s="854"/>
      <c r="R18" s="854"/>
      <c r="S18" s="854"/>
      <c r="T18" s="854"/>
      <c r="U18" s="854"/>
    </row>
    <row r="19" spans="1:21" ht="11.25" customHeight="1">
      <c r="A19" s="854"/>
      <c r="B19" s="854"/>
      <c r="C19" s="854"/>
      <c r="D19" s="860"/>
      <c r="E19" s="862"/>
      <c r="F19" s="866"/>
      <c r="G19" s="866"/>
      <c r="H19" s="864"/>
      <c r="I19" s="864"/>
      <c r="J19" s="864"/>
      <c r="K19" s="864"/>
      <c r="L19" s="865"/>
      <c r="M19" s="863"/>
      <c r="N19" s="854"/>
      <c r="O19" s="854"/>
      <c r="P19" s="860"/>
      <c r="Q19" s="854"/>
      <c r="R19" s="854"/>
      <c r="S19" s="854"/>
      <c r="T19" s="854"/>
      <c r="U19" s="854"/>
    </row>
    <row r="20" spans="1:21" ht="15" customHeight="1">
      <c r="A20" s="854"/>
      <c r="B20" s="854"/>
      <c r="C20" s="854"/>
      <c r="D20" s="1627" t="s">
        <v>1853</v>
      </c>
      <c r="E20" s="1627"/>
      <c r="F20" s="1627"/>
      <c r="G20" s="1627"/>
      <c r="H20" s="1627"/>
      <c r="I20" s="860"/>
      <c r="J20" s="860"/>
      <c r="K20" s="867"/>
      <c r="L20" s="867"/>
      <c r="M20" s="867"/>
      <c r="N20" s="868"/>
      <c r="O20" s="854"/>
      <c r="P20" s="854"/>
      <c r="Q20" s="854"/>
      <c r="R20" s="854"/>
      <c r="S20" s="854"/>
      <c r="T20" s="854"/>
      <c r="U20" s="854"/>
    </row>
    <row r="21" spans="1:21" s="64" customFormat="1" ht="11.25" customHeight="1">
      <c r="A21" s="868"/>
      <c r="B21" s="868"/>
      <c r="C21" s="868"/>
      <c r="D21" s="927" t="s">
        <v>1854</v>
      </c>
      <c r="E21" s="928"/>
      <c r="F21" s="929"/>
      <c r="G21" s="929"/>
      <c r="H21" s="930">
        <f>'Cash Flow'!P3</f>
        <v>49675</v>
      </c>
      <c r="I21" s="868"/>
      <c r="J21" s="869"/>
      <c r="K21" s="870"/>
      <c r="L21" s="869"/>
      <c r="M21" s="869"/>
      <c r="N21" s="868"/>
      <c r="O21" s="868"/>
      <c r="P21" s="868"/>
      <c r="Q21" s="868"/>
      <c r="R21" s="868"/>
      <c r="S21" s="871"/>
      <c r="T21" s="868"/>
      <c r="U21" s="868"/>
    </row>
    <row r="22" spans="1:21" s="64" customFormat="1" ht="11.25" customHeight="1">
      <c r="A22" s="868"/>
      <c r="B22" s="868"/>
      <c r="C22" s="868"/>
      <c r="D22" s="755" t="s">
        <v>1855</v>
      </c>
      <c r="E22" s="880"/>
      <c r="F22" s="756"/>
      <c r="G22" s="756"/>
      <c r="H22" s="835">
        <f>Input!B31</f>
        <v>0</v>
      </c>
      <c r="I22" s="868"/>
      <c r="J22" s="869"/>
      <c r="K22" s="870"/>
      <c r="L22" s="869"/>
      <c r="M22" s="869"/>
      <c r="N22" s="868"/>
      <c r="O22" s="868"/>
      <c r="P22" s="868"/>
      <c r="Q22" s="868"/>
      <c r="R22" s="868"/>
      <c r="S22" s="868"/>
      <c r="T22" s="868"/>
      <c r="U22" s="868"/>
    </row>
    <row r="23" spans="1:21" s="64" customFormat="1" ht="11.25" customHeight="1">
      <c r="A23" s="868"/>
      <c r="B23" s="868"/>
      <c r="C23" s="868"/>
      <c r="D23" s="931" t="s">
        <v>1818</v>
      </c>
      <c r="E23" s="882"/>
      <c r="F23" s="888"/>
      <c r="G23" s="888"/>
      <c r="H23" s="932">
        <f>Input!B32</f>
        <v>0</v>
      </c>
      <c r="I23" s="868"/>
      <c r="J23" s="869"/>
      <c r="K23" s="870"/>
      <c r="L23" s="869"/>
      <c r="M23" s="869"/>
      <c r="N23" s="868"/>
      <c r="O23" s="868"/>
      <c r="P23" s="868"/>
      <c r="Q23" s="868"/>
      <c r="R23" s="868"/>
      <c r="S23" s="868"/>
      <c r="T23" s="868"/>
      <c r="U23" s="868"/>
    </row>
    <row r="24" spans="1:21" s="64" customFormat="1" ht="11.25" customHeight="1">
      <c r="A24" s="868"/>
      <c r="B24" s="868"/>
      <c r="C24" s="868"/>
      <c r="D24" s="868"/>
      <c r="E24" s="868"/>
      <c r="F24" s="868"/>
      <c r="G24" s="868"/>
      <c r="H24" s="868"/>
      <c r="I24" s="868"/>
      <c r="J24" s="869"/>
      <c r="K24" s="870"/>
      <c r="L24" s="869"/>
      <c r="M24" s="869"/>
      <c r="N24" s="868"/>
      <c r="O24" s="868"/>
      <c r="P24" s="868"/>
      <c r="Q24" s="868"/>
      <c r="R24" s="868"/>
      <c r="S24" s="868"/>
      <c r="T24" s="868"/>
      <c r="U24" s="868"/>
    </row>
    <row r="25" spans="1:21" s="64" customFormat="1" ht="11.25" customHeight="1">
      <c r="A25" s="868"/>
      <c r="B25" s="868"/>
      <c r="C25" s="868"/>
      <c r="D25" s="868"/>
      <c r="E25" s="868"/>
      <c r="F25" s="868"/>
      <c r="G25" s="868"/>
      <c r="H25" s="868"/>
      <c r="I25" s="868"/>
      <c r="J25" s="869"/>
      <c r="K25" s="870"/>
      <c r="L25" s="869"/>
      <c r="M25" s="869"/>
      <c r="N25" s="868"/>
      <c r="O25" s="868"/>
      <c r="P25" s="868"/>
      <c r="Q25" s="868"/>
      <c r="R25" s="868"/>
      <c r="S25" s="868"/>
      <c r="T25" s="868"/>
      <c r="U25" s="868"/>
    </row>
    <row r="26" spans="1:21" s="64" customFormat="1" ht="11.25" customHeight="1">
      <c r="A26" s="868"/>
      <c r="B26" s="868"/>
      <c r="C26" s="868"/>
      <c r="D26" s="868"/>
      <c r="E26" s="868"/>
      <c r="F26" s="868"/>
      <c r="G26" s="868"/>
      <c r="H26" s="868"/>
      <c r="I26" s="868"/>
      <c r="J26" s="869"/>
      <c r="K26" s="870"/>
      <c r="L26" s="869"/>
      <c r="M26" s="869"/>
      <c r="N26" s="868"/>
      <c r="O26" s="868"/>
      <c r="P26" s="868"/>
      <c r="Q26" s="868"/>
      <c r="R26" s="868"/>
      <c r="S26" s="868"/>
      <c r="T26" s="868"/>
      <c r="U26" s="868"/>
    </row>
    <row r="27" spans="1:21" s="64" customFormat="1" ht="11.25" customHeight="1">
      <c r="A27" s="868"/>
      <c r="B27" s="868"/>
      <c r="C27" s="868"/>
      <c r="D27" s="872"/>
      <c r="E27" s="869"/>
      <c r="F27" s="869"/>
      <c r="G27" s="869"/>
      <c r="H27" s="869"/>
      <c r="I27" s="873"/>
      <c r="J27" s="869"/>
      <c r="K27" s="869"/>
      <c r="L27" s="869"/>
      <c r="M27" s="869"/>
      <c r="N27" s="854"/>
      <c r="O27" s="868"/>
      <c r="P27" s="869"/>
      <c r="Q27" s="868"/>
      <c r="R27" s="868"/>
      <c r="S27" s="868"/>
      <c r="T27" s="868"/>
      <c r="U27" s="868"/>
    </row>
    <row r="28" spans="1:21" ht="11.25" customHeight="1">
      <c r="A28" s="854"/>
      <c r="B28" s="854"/>
      <c r="C28" s="854"/>
      <c r="D28" s="860"/>
      <c r="E28" s="860"/>
      <c r="F28" s="860"/>
      <c r="G28" s="860"/>
      <c r="H28" s="860"/>
      <c r="I28" s="860"/>
      <c r="J28" s="860"/>
      <c r="K28" s="860"/>
      <c r="L28" s="860"/>
      <c r="M28" s="860"/>
      <c r="N28" s="854"/>
      <c r="O28" s="854"/>
      <c r="P28" s="860"/>
      <c r="Q28" s="854"/>
      <c r="R28" s="854"/>
      <c r="S28" s="854"/>
      <c r="T28" s="854"/>
      <c r="U28" s="854"/>
    </row>
    <row r="29" spans="1:21" ht="15" customHeight="1">
      <c r="A29" s="854"/>
      <c r="B29" s="854"/>
      <c r="C29" s="854"/>
      <c r="D29" s="1627" t="s">
        <v>1841</v>
      </c>
      <c r="E29" s="1627"/>
      <c r="F29" s="1627"/>
      <c r="G29" s="1627"/>
      <c r="H29" s="1627"/>
      <c r="I29" s="1627"/>
      <c r="J29" s="1627"/>
      <c r="K29" s="1627"/>
      <c r="L29" s="1627"/>
      <c r="M29" s="1627"/>
      <c r="N29" s="868"/>
      <c r="O29" s="854"/>
      <c r="P29" s="855"/>
      <c r="Q29" s="855"/>
      <c r="R29" s="854"/>
      <c r="S29" s="854"/>
      <c r="T29" s="854"/>
      <c r="U29" s="854"/>
    </row>
    <row r="30" spans="1:21" s="64" customFormat="1" ht="11.25" customHeight="1">
      <c r="A30" s="868"/>
      <c r="B30" s="868"/>
      <c r="C30" s="868"/>
      <c r="D30" s="927" t="s">
        <v>1842</v>
      </c>
      <c r="E30" s="928"/>
      <c r="F30" s="929"/>
      <c r="G30" s="929"/>
      <c r="H30" s="933">
        <f>'Rent Roll Summary'!$C$36</f>
        <v>27</v>
      </c>
      <c r="I30" s="756"/>
      <c r="J30" s="929" t="str">
        <f>Input!A27</f>
        <v>Year Built/Renovated</v>
      </c>
      <c r="K30" s="756"/>
      <c r="L30" s="929"/>
      <c r="M30" s="934">
        <f>Input!B27</f>
        <v>1953</v>
      </c>
      <c r="N30" s="868"/>
      <c r="O30" s="868"/>
      <c r="P30" s="869"/>
      <c r="Q30" s="868"/>
      <c r="R30" s="868"/>
      <c r="S30" s="868"/>
      <c r="T30" s="868"/>
      <c r="U30" s="868"/>
    </row>
    <row r="31" spans="1:21" s="64" customFormat="1" ht="11.25" customHeight="1">
      <c r="A31" s="868"/>
      <c r="B31" s="868"/>
      <c r="C31" s="868"/>
      <c r="D31" s="755" t="s">
        <v>1843</v>
      </c>
      <c r="E31" s="880"/>
      <c r="F31" s="756"/>
      <c r="G31" s="756"/>
      <c r="H31" s="757">
        <f>'Rent Roll Summary'!T36</f>
        <v>22674</v>
      </c>
      <c r="I31" s="756"/>
      <c r="J31" s="756" t="s">
        <v>1844</v>
      </c>
      <c r="K31" s="756"/>
      <c r="L31" s="756"/>
      <c r="M31" s="886">
        <f>'Rent Roll Summary'!$U$36</f>
        <v>1904.7777777777778</v>
      </c>
      <c r="N31" s="868"/>
      <c r="O31" s="868"/>
      <c r="P31" s="869"/>
      <c r="Q31" s="868"/>
      <c r="R31" s="868"/>
      <c r="S31" s="868"/>
      <c r="T31" s="868"/>
      <c r="U31" s="868"/>
    </row>
    <row r="32" spans="1:21" s="64" customFormat="1" ht="11.25" customHeight="1">
      <c r="A32" s="868"/>
      <c r="B32" s="868"/>
      <c r="C32" s="868"/>
      <c r="D32" s="931" t="s">
        <v>1845</v>
      </c>
      <c r="E32" s="882"/>
      <c r="F32" s="888"/>
      <c r="G32" s="888"/>
      <c r="H32" s="887">
        <f>'Rent Roll Summary'!$D$36</f>
        <v>839.77777777777783</v>
      </c>
      <c r="I32" s="888"/>
      <c r="J32" s="888" t="s">
        <v>1846</v>
      </c>
      <c r="K32" s="888"/>
      <c r="L32" s="888"/>
      <c r="M32" s="889" t="s">
        <v>1847</v>
      </c>
      <c r="N32" s="868"/>
      <c r="O32" s="868"/>
      <c r="P32" s="869"/>
      <c r="Q32" s="868"/>
      <c r="R32" s="868"/>
      <c r="S32" s="868"/>
      <c r="T32" s="868"/>
      <c r="U32" s="868"/>
    </row>
    <row r="33" spans="1:21" s="64" customFormat="1" ht="11.25" customHeight="1">
      <c r="A33" s="868"/>
      <c r="B33" s="868"/>
      <c r="C33" s="868"/>
      <c r="D33" s="874"/>
      <c r="E33" s="874"/>
      <c r="F33" s="874"/>
      <c r="G33" s="874"/>
      <c r="H33" s="874"/>
      <c r="I33" s="874"/>
      <c r="J33" s="874"/>
      <c r="K33" s="875"/>
      <c r="L33" s="874"/>
      <c r="M33" s="876"/>
      <c r="N33" s="869"/>
      <c r="O33" s="868"/>
      <c r="P33" s="877"/>
      <c r="Q33" s="868"/>
      <c r="R33" s="868"/>
      <c r="S33" s="868"/>
      <c r="T33" s="868"/>
      <c r="U33" s="868"/>
    </row>
    <row r="34" spans="1:21" s="64" customFormat="1" ht="11.25" customHeight="1">
      <c r="A34" s="868"/>
      <c r="B34" s="868"/>
      <c r="C34" s="868"/>
      <c r="D34" s="869"/>
      <c r="E34" s="869"/>
      <c r="F34" s="869"/>
      <c r="G34" s="869"/>
      <c r="H34" s="869"/>
      <c r="I34" s="869"/>
      <c r="J34" s="869"/>
      <c r="K34" s="869"/>
      <c r="L34" s="869"/>
      <c r="M34" s="869"/>
      <c r="N34" s="868"/>
      <c r="O34" s="869"/>
      <c r="P34" s="869"/>
      <c r="Q34" s="868"/>
      <c r="R34" s="868"/>
      <c r="S34" s="868"/>
      <c r="T34" s="868"/>
      <c r="U34" s="868"/>
    </row>
    <row r="35" spans="1:21" s="64" customFormat="1" ht="11.25" customHeight="1">
      <c r="A35" s="868"/>
      <c r="B35" s="868"/>
      <c r="C35" s="868"/>
      <c r="D35" s="868"/>
      <c r="E35" s="868"/>
      <c r="F35" s="868"/>
      <c r="G35" s="868"/>
      <c r="H35" s="868"/>
      <c r="I35" s="868"/>
      <c r="J35" s="868"/>
      <c r="K35" s="868"/>
      <c r="L35" s="868"/>
      <c r="M35" s="868"/>
      <c r="N35" s="869"/>
      <c r="O35" s="868"/>
      <c r="P35" s="868"/>
      <c r="Q35" s="868"/>
      <c r="R35" s="868"/>
      <c r="S35" s="868"/>
      <c r="T35" s="868"/>
      <c r="U35" s="868"/>
    </row>
    <row r="36" spans="1:21" s="65" customFormat="1">
      <c r="A36" s="869"/>
      <c r="B36" s="869"/>
      <c r="C36" s="869"/>
      <c r="D36" s="869"/>
      <c r="E36" s="869"/>
      <c r="F36" s="869"/>
      <c r="G36" s="869"/>
      <c r="H36" s="869"/>
      <c r="I36" s="869"/>
      <c r="J36" s="869"/>
      <c r="K36" s="869"/>
      <c r="L36" s="869"/>
      <c r="M36" s="869"/>
      <c r="N36" s="869"/>
      <c r="O36" s="869"/>
      <c r="P36" s="869"/>
      <c r="Q36" s="869"/>
      <c r="R36" s="869"/>
      <c r="S36" s="869"/>
      <c r="T36" s="869"/>
      <c r="U36" s="869"/>
    </row>
    <row r="37" spans="1:21" s="65" customFormat="1">
      <c r="A37" s="869"/>
      <c r="B37" s="869"/>
      <c r="C37" s="869"/>
      <c r="D37" s="869"/>
      <c r="E37" s="869"/>
      <c r="F37" s="869"/>
      <c r="G37" s="869"/>
      <c r="H37" s="869"/>
      <c r="I37" s="869"/>
      <c r="J37" s="869"/>
      <c r="K37" s="869"/>
      <c r="L37" s="869"/>
      <c r="M37" s="869"/>
      <c r="N37" s="869"/>
      <c r="O37" s="869"/>
      <c r="P37" s="869"/>
      <c r="Q37" s="869"/>
      <c r="R37" s="869"/>
      <c r="S37" s="869"/>
      <c r="T37" s="869"/>
      <c r="U37" s="869"/>
    </row>
    <row r="38" spans="1:21" s="65" customFormat="1">
      <c r="A38" s="869"/>
      <c r="B38" s="869"/>
      <c r="C38" s="869"/>
      <c r="D38" s="869"/>
      <c r="E38" s="869"/>
      <c r="F38" s="869"/>
      <c r="G38" s="869"/>
      <c r="H38" s="869"/>
      <c r="I38" s="869"/>
      <c r="J38" s="869"/>
      <c r="K38" s="869"/>
      <c r="L38" s="869"/>
      <c r="M38" s="869"/>
      <c r="N38" s="869"/>
      <c r="O38" s="869"/>
      <c r="P38" s="869"/>
      <c r="Q38" s="869"/>
      <c r="R38" s="869"/>
      <c r="S38" s="869"/>
      <c r="T38" s="869"/>
      <c r="U38" s="869"/>
    </row>
    <row r="39" spans="1:21" s="65" customFormat="1">
      <c r="A39" s="869"/>
      <c r="B39" s="869"/>
      <c r="C39" s="869"/>
      <c r="D39" s="869"/>
      <c r="E39" s="869"/>
      <c r="F39" s="869"/>
      <c r="G39" s="869"/>
      <c r="H39" s="869"/>
      <c r="I39" s="869"/>
      <c r="J39" s="869"/>
      <c r="K39" s="869"/>
      <c r="L39" s="869"/>
      <c r="M39" s="869"/>
      <c r="N39" s="869"/>
      <c r="O39" s="869"/>
      <c r="P39" s="869"/>
      <c r="Q39" s="869"/>
      <c r="R39" s="869"/>
      <c r="S39" s="869"/>
      <c r="T39" s="869"/>
      <c r="U39" s="869"/>
    </row>
    <row r="40" spans="1:21" s="65" customFormat="1">
      <c r="A40" s="869"/>
      <c r="B40" s="869"/>
      <c r="C40" s="869"/>
      <c r="D40" s="869"/>
      <c r="E40" s="869"/>
      <c r="F40" s="869"/>
      <c r="G40" s="869"/>
      <c r="H40" s="869"/>
      <c r="I40" s="869"/>
      <c r="J40" s="869"/>
      <c r="K40" s="869"/>
      <c r="L40" s="869"/>
      <c r="M40" s="869"/>
      <c r="N40" s="869"/>
      <c r="O40" s="869"/>
      <c r="P40" s="869"/>
      <c r="Q40" s="869"/>
      <c r="R40" s="869"/>
      <c r="S40" s="869"/>
      <c r="T40" s="869"/>
      <c r="U40" s="869"/>
    </row>
    <row r="41" spans="1:21" s="65" customFormat="1">
      <c r="A41" s="869"/>
      <c r="B41" s="869"/>
      <c r="C41" s="869"/>
      <c r="D41" s="869"/>
      <c r="E41" s="869"/>
      <c r="F41" s="869"/>
      <c r="G41" s="869"/>
      <c r="H41" s="869"/>
      <c r="I41" s="869"/>
      <c r="J41" s="869"/>
      <c r="K41" s="869"/>
      <c r="L41" s="869"/>
      <c r="M41" s="869"/>
      <c r="N41" s="869"/>
      <c r="O41" s="869"/>
      <c r="P41" s="869"/>
      <c r="Q41" s="869"/>
      <c r="R41" s="869"/>
      <c r="S41" s="869"/>
      <c r="T41" s="869"/>
      <c r="U41" s="869"/>
    </row>
    <row r="42" spans="1:21" s="65" customFormat="1">
      <c r="A42" s="869"/>
      <c r="B42" s="869"/>
      <c r="C42" s="869"/>
      <c r="D42" s="869"/>
      <c r="E42" s="869"/>
      <c r="F42" s="869"/>
      <c r="G42" s="869"/>
      <c r="H42" s="869"/>
      <c r="I42" s="869"/>
      <c r="J42" s="869"/>
      <c r="K42" s="869"/>
      <c r="L42" s="869"/>
      <c r="M42" s="869"/>
      <c r="N42" s="860"/>
      <c r="O42" s="869"/>
      <c r="P42" s="869"/>
      <c r="Q42" s="869"/>
      <c r="R42" s="869"/>
      <c r="S42" s="869"/>
      <c r="T42" s="869"/>
      <c r="U42" s="869"/>
    </row>
    <row r="43" spans="1:21" s="34" customFormat="1">
      <c r="A43" s="860"/>
      <c r="B43" s="860"/>
      <c r="C43" s="860"/>
      <c r="D43" s="860"/>
      <c r="E43" s="860"/>
      <c r="F43" s="860"/>
      <c r="G43" s="860"/>
      <c r="H43" s="860"/>
      <c r="I43" s="860"/>
      <c r="J43" s="860"/>
      <c r="K43" s="860"/>
      <c r="L43" s="860"/>
      <c r="M43" s="860"/>
      <c r="N43" s="860"/>
      <c r="O43" s="860"/>
      <c r="P43" s="860"/>
      <c r="Q43" s="860"/>
      <c r="R43" s="860"/>
      <c r="S43" s="860"/>
      <c r="T43" s="860"/>
      <c r="U43" s="860"/>
    </row>
    <row r="44" spans="1:21" s="34" customFormat="1">
      <c r="A44" s="860"/>
      <c r="B44" s="860"/>
      <c r="C44" s="860"/>
      <c r="D44" s="860"/>
      <c r="E44" s="860"/>
      <c r="F44" s="860"/>
      <c r="G44" s="860"/>
      <c r="H44" s="860"/>
      <c r="I44" s="860"/>
      <c r="J44" s="860"/>
      <c r="K44" s="860"/>
      <c r="L44" s="860"/>
      <c r="M44" s="860"/>
      <c r="N44" s="860"/>
      <c r="O44" s="860"/>
      <c r="P44" s="860"/>
      <c r="Q44" s="860"/>
      <c r="R44" s="860"/>
      <c r="S44" s="860"/>
      <c r="T44" s="860"/>
      <c r="U44" s="860"/>
    </row>
    <row r="45" spans="1:21" s="34" customFormat="1">
      <c r="A45" s="860"/>
      <c r="B45" s="860"/>
      <c r="C45" s="860"/>
      <c r="D45" s="860"/>
      <c r="E45" s="860"/>
      <c r="F45" s="860"/>
      <c r="G45" s="860"/>
      <c r="H45" s="860"/>
      <c r="I45" s="860"/>
      <c r="J45" s="860"/>
      <c r="K45" s="860"/>
      <c r="L45" s="860"/>
      <c r="M45" s="860"/>
      <c r="N45" s="860"/>
      <c r="O45" s="860"/>
      <c r="P45" s="860"/>
      <c r="Q45" s="860"/>
      <c r="R45" s="860"/>
      <c r="S45" s="860"/>
      <c r="T45" s="860"/>
      <c r="U45" s="860"/>
    </row>
    <row r="46" spans="1:21" s="34" customFormat="1">
      <c r="A46" s="860"/>
      <c r="B46" s="860"/>
      <c r="C46" s="860"/>
      <c r="D46" s="860"/>
      <c r="E46" s="860"/>
      <c r="F46" s="860"/>
      <c r="G46" s="860"/>
      <c r="H46" s="860"/>
      <c r="I46" s="860"/>
      <c r="J46" s="860"/>
      <c r="K46" s="860"/>
      <c r="L46" s="860"/>
      <c r="M46" s="860"/>
      <c r="N46" s="860"/>
      <c r="O46" s="860"/>
      <c r="P46" s="860"/>
      <c r="Q46" s="860"/>
      <c r="R46" s="860"/>
      <c r="S46" s="860"/>
      <c r="T46" s="860"/>
      <c r="U46" s="860"/>
    </row>
    <row r="47" spans="1:21" s="34" customFormat="1">
      <c r="A47" s="860"/>
      <c r="B47" s="860"/>
      <c r="C47" s="860"/>
      <c r="D47" s="860"/>
      <c r="E47" s="860"/>
      <c r="F47" s="860"/>
      <c r="G47" s="860"/>
      <c r="H47" s="860"/>
      <c r="I47" s="860"/>
      <c r="J47" s="860"/>
      <c r="K47" s="860"/>
      <c r="L47" s="860"/>
      <c r="M47" s="860"/>
      <c r="N47" s="860"/>
      <c r="O47" s="860"/>
      <c r="P47" s="860"/>
      <c r="Q47" s="860"/>
      <c r="R47" s="860"/>
      <c r="S47" s="860"/>
      <c r="T47" s="860"/>
      <c r="U47" s="860"/>
    </row>
    <row r="48" spans="1:21" s="34" customFormat="1">
      <c r="A48" s="860"/>
      <c r="B48" s="860"/>
      <c r="C48" s="860"/>
      <c r="D48" s="860"/>
      <c r="E48" s="860"/>
      <c r="F48" s="860"/>
      <c r="G48" s="860"/>
      <c r="H48" s="860"/>
      <c r="I48" s="860"/>
      <c r="J48" s="860"/>
      <c r="K48" s="860"/>
      <c r="L48" s="860"/>
      <c r="M48" s="860"/>
      <c r="N48" s="860"/>
      <c r="O48" s="860"/>
      <c r="P48" s="860"/>
      <c r="Q48" s="860"/>
      <c r="R48" s="860"/>
      <c r="S48" s="860"/>
      <c r="T48" s="860"/>
      <c r="U48" s="860"/>
    </row>
    <row r="49" spans="1:21" s="34" customFormat="1">
      <c r="A49" s="860"/>
      <c r="B49" s="860"/>
      <c r="C49" s="860"/>
      <c r="D49" s="860"/>
      <c r="E49" s="860"/>
      <c r="F49" s="860"/>
      <c r="G49" s="860"/>
      <c r="H49" s="860"/>
      <c r="I49" s="860"/>
      <c r="J49" s="860"/>
      <c r="K49" s="860"/>
      <c r="L49" s="860"/>
      <c r="M49" s="860"/>
      <c r="N49" s="860"/>
      <c r="O49" s="860"/>
      <c r="P49" s="860"/>
      <c r="Q49" s="860"/>
      <c r="R49" s="860"/>
      <c r="S49" s="860"/>
      <c r="T49" s="860"/>
      <c r="U49" s="860"/>
    </row>
    <row r="50" spans="1:21" s="34" customFormat="1"/>
    <row r="51" spans="1:21" s="34" customFormat="1"/>
    <row r="52" spans="1:21" s="34" customFormat="1">
      <c r="J52" s="35"/>
    </row>
    <row r="53" spans="1:21" s="34" customFormat="1">
      <c r="J53" s="35"/>
    </row>
    <row r="54" spans="1:21" s="34" customFormat="1">
      <c r="J54" s="35"/>
    </row>
    <row r="55" spans="1:21" s="34" customFormat="1">
      <c r="J55" s="35"/>
    </row>
    <row r="56" spans="1:21" s="34" customFormat="1">
      <c r="J56" s="35"/>
      <c r="N56" s="31"/>
    </row>
    <row r="57" spans="1:21">
      <c r="J57" s="35"/>
    </row>
    <row r="58" spans="1:21">
      <c r="J58" s="35"/>
    </row>
    <row r="59" spans="1:21">
      <c r="J59" s="35"/>
    </row>
    <row r="60" spans="1:21">
      <c r="J60" s="35"/>
    </row>
    <row r="61" spans="1:21">
      <c r="J61" s="35"/>
    </row>
    <row r="62" spans="1:21">
      <c r="J62" s="35"/>
    </row>
    <row r="63" spans="1:21">
      <c r="J63" s="35"/>
    </row>
    <row r="64" spans="1:21">
      <c r="J64" s="35"/>
    </row>
    <row r="65" spans="10:10">
      <c r="J65" s="35"/>
    </row>
    <row r="66" spans="10:10">
      <c r="J66" s="35"/>
    </row>
    <row r="67" spans="10:10">
      <c r="J67" s="35"/>
    </row>
    <row r="68" spans="10:10">
      <c r="J68" s="35"/>
    </row>
    <row r="69" spans="10:10">
      <c r="J69" s="35"/>
    </row>
    <row r="70" spans="10:10">
      <c r="J70" s="35"/>
    </row>
    <row r="71" spans="10:10">
      <c r="J71" s="35"/>
    </row>
    <row r="72" spans="10:10">
      <c r="J72" s="35"/>
    </row>
    <row r="73" spans="10:10">
      <c r="J73" s="35"/>
    </row>
    <row r="74" spans="10:10">
      <c r="J74" s="35"/>
    </row>
    <row r="75" spans="10:10">
      <c r="J75" s="35"/>
    </row>
    <row r="76" spans="10:10">
      <c r="J76" s="35"/>
    </row>
    <row r="77" spans="10:10">
      <c r="J77" s="35"/>
    </row>
    <row r="78" spans="10:10">
      <c r="J78" s="35"/>
    </row>
    <row r="79" spans="10:10">
      <c r="J79" s="35"/>
    </row>
    <row r="80" spans="10:10">
      <c r="J80" s="35"/>
    </row>
    <row r="81" spans="10:21">
      <c r="J81" s="35"/>
    </row>
    <row r="82" spans="10:21">
      <c r="J82" s="35"/>
    </row>
    <row r="83" spans="10:21">
      <c r="J83" s="35"/>
    </row>
    <row r="84" spans="10:21">
      <c r="J84" s="35"/>
    </row>
    <row r="85" spans="10:21">
      <c r="J85" s="35"/>
    </row>
    <row r="86" spans="10:21">
      <c r="J86" s="35"/>
    </row>
    <row r="87" spans="10:21">
      <c r="J87" s="35"/>
    </row>
    <row r="88" spans="10:21">
      <c r="J88" s="35"/>
    </row>
    <row r="89" spans="10:21">
      <c r="J89" s="35"/>
    </row>
    <row r="90" spans="10:21">
      <c r="J90" s="35"/>
    </row>
    <row r="91" spans="10:21">
      <c r="J91" s="35"/>
    </row>
    <row r="92" spans="10:21">
      <c r="J92" s="35"/>
    </row>
    <row r="93" spans="10:21">
      <c r="J93" s="35"/>
    </row>
    <row r="94" spans="10:21">
      <c r="J94" s="35"/>
    </row>
    <row r="95" spans="10:21">
      <c r="J95" s="35"/>
    </row>
    <row r="96" spans="10:21">
      <c r="J96" s="35"/>
      <c r="U96" s="88"/>
    </row>
    <row r="97" spans="5:33">
      <c r="F97" s="36"/>
      <c r="G97" s="36"/>
      <c r="H97" s="36"/>
      <c r="J97" s="35"/>
      <c r="U97" s="32"/>
    </row>
    <row r="98" spans="5:33">
      <c r="F98" s="36"/>
      <c r="G98" s="36"/>
      <c r="H98" s="36"/>
      <c r="J98" s="35"/>
      <c r="U98" s="32"/>
      <c r="V98" s="37"/>
      <c r="W98" s="88"/>
    </row>
    <row r="99" spans="5:33">
      <c r="J99" s="35"/>
      <c r="N99" s="38"/>
      <c r="U99" s="32"/>
      <c r="V99" s="37"/>
      <c r="W99" s="88"/>
    </row>
    <row r="100" spans="5:33">
      <c r="E100" s="38"/>
      <c r="F100" s="38"/>
      <c r="G100" s="38"/>
      <c r="H100" s="38"/>
      <c r="I100" s="38"/>
      <c r="J100" s="35"/>
      <c r="K100" s="38"/>
      <c r="L100" s="38"/>
      <c r="M100" s="38"/>
      <c r="O100" s="38"/>
      <c r="P100" s="38"/>
      <c r="Q100" s="38"/>
      <c r="U100" s="32"/>
      <c r="V100" s="37"/>
      <c r="W100" s="88"/>
    </row>
    <row r="101" spans="5:33">
      <c r="J101" s="35"/>
      <c r="U101" s="32"/>
      <c r="V101" s="37"/>
      <c r="W101" s="88"/>
    </row>
    <row r="102" spans="5:33">
      <c r="J102" s="35"/>
      <c r="U102" s="32"/>
      <c r="V102" s="37"/>
      <c r="W102" s="88"/>
    </row>
    <row r="103" spans="5:33">
      <c r="J103" s="35"/>
      <c r="U103" s="32"/>
      <c r="V103" s="37"/>
      <c r="W103" s="88"/>
    </row>
    <row r="104" spans="5:33">
      <c r="J104" s="35"/>
      <c r="U104" s="32"/>
      <c r="V104" s="37"/>
      <c r="W104" s="88"/>
    </row>
    <row r="105" spans="5:33">
      <c r="J105" s="35"/>
      <c r="U105" s="32"/>
      <c r="V105" s="37"/>
      <c r="W105" s="88"/>
      <c r="AG105" s="89"/>
    </row>
    <row r="106" spans="5:33">
      <c r="J106" s="35"/>
      <c r="U106" s="32"/>
      <c r="V106" s="37"/>
      <c r="W106" s="88"/>
    </row>
    <row r="107" spans="5:33">
      <c r="J107" s="35"/>
      <c r="U107" s="32"/>
      <c r="V107" s="37"/>
      <c r="W107" s="88"/>
    </row>
    <row r="108" spans="5:33">
      <c r="J108" s="35"/>
    </row>
    <row r="109" spans="5:33">
      <c r="J109" s="35"/>
    </row>
    <row r="110" spans="5:33">
      <c r="J110" s="35"/>
    </row>
    <row r="111" spans="5:33">
      <c r="J111" s="35"/>
    </row>
    <row r="112" spans="5:33">
      <c r="J112" s="35"/>
    </row>
    <row r="113" spans="10:10">
      <c r="J113" s="35"/>
    </row>
    <row r="114" spans="10:10">
      <c r="J114" s="35"/>
    </row>
    <row r="115" spans="10:10">
      <c r="J115" s="35"/>
    </row>
    <row r="136" spans="22:32">
      <c r="V136" s="90"/>
      <c r="W136" s="91"/>
      <c r="X136" s="91"/>
      <c r="Y136" s="91"/>
      <c r="Z136" s="91"/>
      <c r="AA136" s="91"/>
      <c r="AB136" s="91"/>
      <c r="AC136" s="91"/>
      <c r="AD136" s="91"/>
      <c r="AE136" s="91"/>
      <c r="AF136" s="91"/>
    </row>
    <row r="138" spans="22:32">
      <c r="V138" s="39"/>
      <c r="W138" s="39"/>
      <c r="X138" s="39"/>
      <c r="Y138" s="39"/>
      <c r="Z138" s="39"/>
      <c r="AA138" s="39"/>
      <c r="AB138" s="39"/>
      <c r="AC138" s="39"/>
      <c r="AD138" s="39"/>
      <c r="AE138" s="39"/>
      <c r="AF138" s="39"/>
    </row>
    <row r="139" spans="22:32">
      <c r="V139" s="39"/>
      <c r="W139" s="39"/>
      <c r="X139" s="39"/>
      <c r="Y139" s="39"/>
      <c r="Z139" s="39"/>
      <c r="AA139" s="39"/>
      <c r="AB139" s="39"/>
      <c r="AC139" s="39"/>
      <c r="AD139" s="39"/>
      <c r="AE139" s="39"/>
      <c r="AF139" s="39"/>
    </row>
    <row r="140" spans="22:32">
      <c r="V140" s="39"/>
      <c r="W140" s="39"/>
      <c r="X140" s="39"/>
      <c r="Y140" s="39"/>
      <c r="Z140" s="39"/>
      <c r="AA140" s="39"/>
      <c r="AB140" s="39"/>
      <c r="AC140" s="39"/>
      <c r="AD140" s="39"/>
      <c r="AE140" s="39"/>
      <c r="AF140" s="39"/>
    </row>
    <row r="141" spans="22:32">
      <c r="V141" s="39"/>
      <c r="W141" s="39"/>
      <c r="X141" s="39"/>
      <c r="Y141" s="39"/>
      <c r="Z141" s="39"/>
      <c r="AA141" s="39"/>
      <c r="AB141" s="39"/>
      <c r="AC141" s="39"/>
      <c r="AD141" s="39"/>
      <c r="AE141" s="39"/>
      <c r="AF141" s="39"/>
    </row>
    <row r="142" spans="22:32">
      <c r="V142" s="39"/>
      <c r="W142" s="39"/>
      <c r="X142" s="39"/>
      <c r="Y142" s="39"/>
      <c r="Z142" s="39"/>
      <c r="AA142" s="39"/>
      <c r="AB142" s="39"/>
      <c r="AC142" s="39"/>
      <c r="AD142" s="39"/>
      <c r="AE142" s="39"/>
      <c r="AF142" s="39"/>
    </row>
    <row r="143" spans="22:32">
      <c r="V143" s="39"/>
      <c r="W143" s="39"/>
      <c r="X143" s="39"/>
      <c r="Y143" s="39"/>
      <c r="Z143" s="39"/>
      <c r="AA143" s="39"/>
      <c r="AB143" s="39"/>
      <c r="AC143" s="39"/>
      <c r="AD143" s="39"/>
      <c r="AE143" s="39"/>
      <c r="AF143" s="39"/>
    </row>
    <row r="144" spans="22:32">
      <c r="V144" s="39"/>
      <c r="W144" s="39"/>
      <c r="X144" s="39"/>
      <c r="Y144" s="39"/>
      <c r="Z144" s="39"/>
      <c r="AA144" s="39"/>
      <c r="AB144" s="39"/>
      <c r="AC144" s="39"/>
      <c r="AD144" s="39"/>
      <c r="AE144" s="39"/>
      <c r="AF144" s="39"/>
    </row>
    <row r="145" spans="22:32">
      <c r="V145" s="39"/>
      <c r="W145" s="39"/>
      <c r="X145" s="39"/>
      <c r="Y145" s="39"/>
      <c r="Z145" s="39"/>
      <c r="AA145" s="39"/>
      <c r="AB145" s="39"/>
      <c r="AC145" s="39"/>
      <c r="AD145" s="39"/>
      <c r="AE145" s="39"/>
      <c r="AF145" s="39"/>
    </row>
    <row r="146" spans="22:32">
      <c r="V146" s="39"/>
      <c r="W146" s="39"/>
      <c r="X146" s="39"/>
      <c r="Y146" s="39"/>
      <c r="Z146" s="39"/>
      <c r="AA146" s="39"/>
      <c r="AB146" s="39"/>
      <c r="AC146" s="39"/>
      <c r="AD146" s="39"/>
      <c r="AE146" s="39"/>
      <c r="AF146" s="39"/>
    </row>
    <row r="147" spans="22:32">
      <c r="V147" s="39"/>
      <c r="W147" s="39"/>
      <c r="X147" s="39"/>
      <c r="Y147" s="39"/>
      <c r="Z147" s="39"/>
      <c r="AA147" s="39"/>
      <c r="AB147" s="39"/>
      <c r="AC147" s="39"/>
      <c r="AD147" s="39"/>
      <c r="AE147" s="39"/>
      <c r="AF147" s="39"/>
    </row>
    <row r="148" spans="22:32">
      <c r="V148" s="39"/>
      <c r="W148" s="39"/>
      <c r="X148" s="39"/>
      <c r="Y148" s="39"/>
      <c r="Z148" s="39"/>
      <c r="AA148" s="39"/>
      <c r="AB148" s="39"/>
      <c r="AC148" s="39"/>
      <c r="AD148" s="39"/>
      <c r="AE148" s="39"/>
      <c r="AF148" s="39"/>
    </row>
    <row r="151" spans="22:32">
      <c r="V151" s="39"/>
      <c r="W151" s="39"/>
      <c r="X151" s="39"/>
      <c r="Y151" s="39"/>
      <c r="Z151" s="39"/>
      <c r="AA151" s="39"/>
      <c r="AB151" s="39"/>
      <c r="AC151" s="39"/>
      <c r="AD151" s="39"/>
      <c r="AE151" s="39"/>
      <c r="AF151" s="39"/>
    </row>
    <row r="152" spans="22:32">
      <c r="V152" s="39"/>
      <c r="W152" s="39"/>
      <c r="X152" s="39"/>
      <c r="Y152" s="39"/>
      <c r="Z152" s="39"/>
      <c r="AA152" s="39"/>
      <c r="AB152" s="39"/>
      <c r="AC152" s="39"/>
      <c r="AD152" s="39"/>
      <c r="AE152" s="39"/>
      <c r="AF152" s="39"/>
    </row>
    <row r="153" spans="22:32">
      <c r="V153" s="39"/>
      <c r="W153" s="39"/>
      <c r="X153" s="39"/>
      <c r="Y153" s="39"/>
      <c r="Z153" s="39"/>
      <c r="AA153" s="39"/>
      <c r="AB153" s="39"/>
      <c r="AC153" s="39"/>
      <c r="AD153" s="39"/>
      <c r="AE153" s="39"/>
      <c r="AF153" s="39"/>
    </row>
    <row r="154" spans="22:32">
      <c r="V154" s="39"/>
      <c r="W154" s="39"/>
      <c r="X154" s="39"/>
      <c r="Y154" s="39"/>
      <c r="Z154" s="39"/>
      <c r="AA154" s="39"/>
      <c r="AB154" s="39"/>
      <c r="AC154" s="39"/>
      <c r="AD154" s="39"/>
      <c r="AE154" s="39"/>
      <c r="AF154" s="39"/>
    </row>
    <row r="155" spans="22:32">
      <c r="V155" s="39"/>
      <c r="W155" s="39"/>
      <c r="X155" s="39"/>
      <c r="Y155" s="39"/>
      <c r="Z155" s="39"/>
      <c r="AA155" s="39"/>
      <c r="AB155" s="39"/>
      <c r="AC155" s="39"/>
      <c r="AD155" s="39"/>
      <c r="AE155" s="39"/>
      <c r="AF155" s="39"/>
    </row>
    <row r="156" spans="22:32">
      <c r="V156" s="39"/>
      <c r="W156" s="39"/>
      <c r="X156" s="39"/>
      <c r="Y156" s="39"/>
      <c r="Z156" s="39"/>
      <c r="AA156" s="39"/>
      <c r="AB156" s="39"/>
      <c r="AC156" s="39"/>
      <c r="AD156" s="39"/>
      <c r="AE156" s="39"/>
      <c r="AF156" s="39"/>
    </row>
    <row r="157" spans="22:32">
      <c r="V157" s="39"/>
      <c r="W157" s="39"/>
      <c r="X157" s="39"/>
      <c r="Y157" s="39"/>
      <c r="Z157" s="39"/>
      <c r="AA157" s="39"/>
      <c r="AB157" s="39"/>
      <c r="AC157" s="39"/>
      <c r="AD157" s="39"/>
      <c r="AE157" s="39"/>
      <c r="AF157" s="39"/>
    </row>
    <row r="158" spans="22:32">
      <c r="V158" s="39"/>
      <c r="W158" s="39"/>
      <c r="X158" s="39"/>
      <c r="Y158" s="39"/>
      <c r="Z158" s="39"/>
      <c r="AA158" s="39"/>
      <c r="AB158" s="39"/>
      <c r="AC158" s="39"/>
      <c r="AD158" s="39"/>
      <c r="AE158" s="39"/>
      <c r="AF158" s="39"/>
    </row>
    <row r="159" spans="22:32">
      <c r="V159" s="39"/>
      <c r="W159" s="39"/>
      <c r="X159" s="39"/>
      <c r="Y159" s="39"/>
      <c r="Z159" s="39"/>
      <c r="AA159" s="39"/>
      <c r="AB159" s="39"/>
      <c r="AC159" s="39"/>
      <c r="AD159" s="39"/>
      <c r="AE159" s="39"/>
      <c r="AF159" s="39"/>
    </row>
    <row r="160" spans="22:32">
      <c r="V160" s="39"/>
      <c r="W160" s="39"/>
      <c r="X160" s="39"/>
      <c r="Y160" s="39"/>
      <c r="Z160" s="39"/>
      <c r="AA160" s="39"/>
      <c r="AB160" s="39"/>
      <c r="AC160" s="39"/>
      <c r="AD160" s="39"/>
      <c r="AE160" s="39"/>
      <c r="AF160" s="39"/>
    </row>
    <row r="161" spans="9:40">
      <c r="V161" s="39"/>
      <c r="W161" s="39"/>
      <c r="X161" s="39"/>
      <c r="Y161" s="39"/>
      <c r="Z161" s="39"/>
      <c r="AA161" s="39"/>
      <c r="AB161" s="39"/>
      <c r="AC161" s="39"/>
      <c r="AD161" s="39"/>
      <c r="AE161" s="39"/>
      <c r="AF161" s="39"/>
    </row>
    <row r="165" spans="9:40">
      <c r="W165" s="35"/>
    </row>
    <row r="166" spans="9:40">
      <c r="W166" s="35"/>
    </row>
    <row r="167" spans="9:40">
      <c r="I167" s="40"/>
      <c r="L167" s="41"/>
      <c r="W167" s="92"/>
    </row>
    <row r="168" spans="9:40">
      <c r="I168" s="42"/>
      <c r="L168" s="41"/>
      <c r="W168" s="92"/>
    </row>
    <row r="169" spans="9:40">
      <c r="I169" s="40"/>
    </row>
    <row r="170" spans="9:40">
      <c r="I170" s="40"/>
      <c r="AE170" s="36"/>
      <c r="AF170" s="36"/>
      <c r="AG170" s="36"/>
      <c r="AH170" s="36"/>
      <c r="AI170" s="36"/>
      <c r="AJ170" s="36"/>
      <c r="AK170" s="36"/>
      <c r="AL170" s="36"/>
      <c r="AM170" s="36"/>
      <c r="AN170" s="36"/>
    </row>
    <row r="171" spans="9:40">
      <c r="I171" s="40"/>
      <c r="V171" s="36"/>
      <c r="W171" s="36"/>
      <c r="X171" s="36"/>
      <c r="Y171" s="36"/>
      <c r="Z171" s="36"/>
      <c r="AA171" s="36"/>
      <c r="AD171" s="89"/>
      <c r="AE171" s="93"/>
      <c r="AF171" s="93"/>
      <c r="AG171" s="93"/>
      <c r="AH171" s="93"/>
      <c r="AI171" s="93"/>
      <c r="AJ171" s="93"/>
      <c r="AK171" s="93"/>
      <c r="AL171" s="93"/>
      <c r="AM171" s="93"/>
      <c r="AN171" s="93"/>
    </row>
    <row r="172" spans="9:40">
      <c r="I172" s="40"/>
    </row>
    <row r="173" spans="9:40">
      <c r="W173" s="94"/>
      <c r="X173" s="94"/>
      <c r="Y173" s="95"/>
      <c r="AA173" s="94"/>
      <c r="AD173" s="94"/>
    </row>
    <row r="174" spans="9:40">
      <c r="W174" s="94"/>
      <c r="X174" s="94"/>
      <c r="Y174" s="95"/>
      <c r="AA174" s="94"/>
      <c r="AD174" s="94"/>
    </row>
    <row r="175" spans="9:40">
      <c r="W175" s="94"/>
      <c r="X175" s="94"/>
      <c r="Y175" s="95"/>
      <c r="AA175" s="94"/>
      <c r="AE175" s="94"/>
      <c r="AF175" s="94"/>
      <c r="AG175" s="94"/>
      <c r="AH175" s="94"/>
      <c r="AI175" s="94"/>
      <c r="AJ175" s="94"/>
      <c r="AK175" s="94"/>
      <c r="AL175" s="94"/>
      <c r="AM175" s="94"/>
      <c r="AN175" s="94"/>
    </row>
    <row r="176" spans="9:40">
      <c r="W176" s="94"/>
      <c r="X176" s="94"/>
      <c r="Y176" s="95"/>
      <c r="AA176" s="94"/>
      <c r="AE176" s="94"/>
      <c r="AF176" s="94"/>
      <c r="AG176" s="94"/>
      <c r="AH176" s="94"/>
      <c r="AI176" s="94"/>
      <c r="AJ176" s="94"/>
      <c r="AK176" s="94"/>
      <c r="AL176" s="94"/>
      <c r="AM176" s="94"/>
      <c r="AN176" s="94"/>
    </row>
    <row r="177" spans="22:40">
      <c r="W177" s="94"/>
      <c r="X177" s="94"/>
      <c r="Y177" s="95"/>
      <c r="AA177" s="94"/>
      <c r="AE177" s="94"/>
      <c r="AF177" s="94"/>
      <c r="AG177" s="94"/>
      <c r="AH177" s="94"/>
      <c r="AI177" s="94"/>
      <c r="AJ177" s="94"/>
      <c r="AK177" s="94"/>
      <c r="AL177" s="94"/>
      <c r="AM177" s="94"/>
      <c r="AN177" s="94"/>
    </row>
    <row r="178" spans="22:40">
      <c r="W178" s="94"/>
      <c r="X178" s="94"/>
      <c r="Y178" s="95"/>
      <c r="AA178" s="94"/>
    </row>
    <row r="179" spans="22:40">
      <c r="W179" s="94"/>
      <c r="X179" s="94"/>
      <c r="Y179" s="95"/>
      <c r="AA179" s="94"/>
      <c r="AD179" s="94"/>
      <c r="AE179" s="94"/>
      <c r="AF179" s="94"/>
      <c r="AG179" s="94"/>
      <c r="AH179" s="94"/>
      <c r="AI179" s="94"/>
      <c r="AJ179" s="94"/>
      <c r="AK179" s="94"/>
      <c r="AL179" s="94"/>
      <c r="AM179" s="94"/>
      <c r="AN179" s="94"/>
    </row>
    <row r="180" spans="22:40">
      <c r="W180" s="94"/>
      <c r="X180" s="94"/>
      <c r="Y180" s="95"/>
      <c r="AA180" s="94"/>
    </row>
    <row r="181" spans="22:40">
      <c r="W181" s="94"/>
      <c r="X181" s="94"/>
      <c r="Y181" s="95"/>
      <c r="AA181" s="94"/>
    </row>
    <row r="182" spans="22:40">
      <c r="W182" s="94"/>
      <c r="X182" s="94"/>
      <c r="Y182" s="95"/>
      <c r="AA182" s="94"/>
    </row>
    <row r="183" spans="22:40">
      <c r="V183" s="91"/>
    </row>
    <row r="185" spans="22:40">
      <c r="V185" s="36"/>
      <c r="W185" s="36"/>
      <c r="X185" s="36"/>
      <c r="Y185" s="36"/>
      <c r="Z185" s="36"/>
      <c r="AA185" s="36"/>
    </row>
    <row r="187" spans="22:40">
      <c r="W187" s="96"/>
      <c r="X187" s="96"/>
      <c r="Y187" s="95"/>
      <c r="AA187" s="94"/>
    </row>
    <row r="188" spans="22:40">
      <c r="W188" s="96"/>
      <c r="X188" s="96"/>
      <c r="Y188" s="95"/>
      <c r="AA188" s="94"/>
    </row>
    <row r="189" spans="22:40">
      <c r="W189" s="96"/>
      <c r="X189" s="96"/>
      <c r="Y189" s="95"/>
      <c r="AA189" s="94"/>
    </row>
    <row r="190" spans="22:40">
      <c r="W190" s="96"/>
      <c r="X190" s="96"/>
      <c r="Y190" s="95"/>
      <c r="AA190" s="94"/>
    </row>
    <row r="191" spans="22:40">
      <c r="W191" s="96"/>
      <c r="X191" s="96"/>
      <c r="Y191" s="95"/>
      <c r="AA191" s="94"/>
    </row>
    <row r="192" spans="22:40">
      <c r="W192" s="96"/>
      <c r="X192" s="96"/>
      <c r="Y192" s="95"/>
      <c r="AA192" s="94"/>
    </row>
    <row r="193" spans="23:27">
      <c r="W193" s="96"/>
      <c r="X193" s="96"/>
      <c r="Y193" s="95"/>
      <c r="AA193" s="94"/>
    </row>
    <row r="194" spans="23:27">
      <c r="W194" s="96"/>
      <c r="X194" s="96"/>
      <c r="Y194" s="95"/>
      <c r="AA194" s="94"/>
    </row>
    <row r="195" spans="23:27">
      <c r="W195" s="96"/>
      <c r="X195" s="96"/>
      <c r="Y195" s="95"/>
      <c r="AA195" s="94"/>
    </row>
    <row r="196" spans="23:27">
      <c r="W196" s="96"/>
      <c r="X196" s="96"/>
      <c r="Y196" s="95"/>
      <c r="AA196" s="94"/>
    </row>
    <row r="197" spans="23:27">
      <c r="W197" s="96"/>
      <c r="X197" s="96"/>
      <c r="Y197" s="95"/>
      <c r="AA197" s="94"/>
    </row>
    <row r="198" spans="23:27">
      <c r="W198" s="96"/>
      <c r="X198" s="96"/>
      <c r="Y198" s="95"/>
      <c r="AA198" s="94"/>
    </row>
    <row r="199" spans="23:27">
      <c r="W199" s="96"/>
      <c r="X199" s="96"/>
      <c r="Y199" s="95"/>
      <c r="AA199" s="94"/>
    </row>
    <row r="200" spans="23:27" hidden="1">
      <c r="W200" s="96"/>
      <c r="X200" s="96"/>
      <c r="Y200" s="95"/>
      <c r="AA200" s="94"/>
    </row>
    <row r="201" spans="23:27" hidden="1">
      <c r="W201" s="96"/>
      <c r="X201" s="96"/>
      <c r="Y201" s="95"/>
      <c r="AA201" s="94"/>
    </row>
    <row r="202" spans="23:27" hidden="1">
      <c r="W202" s="96"/>
      <c r="X202" s="96"/>
      <c r="Y202" s="95"/>
      <c r="AA202" s="94"/>
    </row>
    <row r="203" spans="23:27" hidden="1">
      <c r="W203" s="96"/>
      <c r="X203" s="96"/>
      <c r="Y203" s="95"/>
      <c r="AA203" s="94"/>
    </row>
    <row r="204" spans="23:27" hidden="1">
      <c r="W204" s="96"/>
      <c r="X204" s="96"/>
      <c r="Y204" s="95"/>
      <c r="AA204" s="94"/>
    </row>
    <row r="205" spans="23:27" hidden="1">
      <c r="W205" s="96"/>
      <c r="X205" s="96"/>
      <c r="Y205" s="95"/>
      <c r="AA205" s="94"/>
    </row>
    <row r="206" spans="23:27" hidden="1">
      <c r="W206" s="96"/>
      <c r="X206" s="96"/>
      <c r="Y206" s="95"/>
      <c r="AA206" s="94"/>
    </row>
    <row r="207" spans="23:27" hidden="1">
      <c r="W207" s="96"/>
      <c r="X207" s="96"/>
      <c r="Y207" s="95"/>
      <c r="AA207" s="94"/>
    </row>
    <row r="208" spans="23:27" hidden="1">
      <c r="W208" s="96"/>
      <c r="X208" s="96"/>
      <c r="Y208" s="95"/>
      <c r="AA208" s="94"/>
    </row>
    <row r="209" spans="23:27" hidden="1">
      <c r="W209" s="96"/>
      <c r="X209" s="96"/>
      <c r="Y209" s="95"/>
      <c r="AA209" s="94"/>
    </row>
    <row r="210" spans="23:27" hidden="1">
      <c r="W210" s="96"/>
      <c r="X210" s="96"/>
      <c r="Y210" s="95"/>
      <c r="AA210" s="94"/>
    </row>
    <row r="211" spans="23:27" hidden="1">
      <c r="W211" s="96"/>
      <c r="X211" s="96"/>
      <c r="Y211" s="95"/>
      <c r="AA211" s="94"/>
    </row>
    <row r="212" spans="23:27" hidden="1">
      <c r="W212" s="96"/>
      <c r="X212" s="96"/>
      <c r="Y212" s="95"/>
      <c r="AA212" s="94"/>
    </row>
    <row r="213" spans="23:27" hidden="1">
      <c r="W213" s="96"/>
      <c r="X213" s="96"/>
      <c r="Y213" s="95"/>
      <c r="AA213" s="94"/>
    </row>
    <row r="214" spans="23:27" hidden="1">
      <c r="W214" s="96"/>
      <c r="X214" s="96"/>
      <c r="Y214" s="95"/>
      <c r="AA214" s="94"/>
    </row>
    <row r="215" spans="23:27" hidden="1">
      <c r="W215" s="96"/>
      <c r="X215" s="96"/>
      <c r="Y215" s="95"/>
      <c r="AA215" s="94"/>
    </row>
    <row r="216" spans="23:27" hidden="1">
      <c r="W216" s="96"/>
      <c r="X216" s="96"/>
      <c r="Y216" s="95"/>
      <c r="AA216" s="94"/>
    </row>
    <row r="217" spans="23:27" hidden="1">
      <c r="W217" s="96"/>
      <c r="X217" s="96"/>
      <c r="Y217" s="95"/>
      <c r="AA217" s="94"/>
    </row>
    <row r="218" spans="23:27" hidden="1">
      <c r="W218" s="96"/>
      <c r="X218" s="96"/>
      <c r="Y218" s="95"/>
      <c r="AA218" s="94"/>
    </row>
    <row r="219" spans="23:27" hidden="1">
      <c r="W219" s="96"/>
      <c r="X219" s="96"/>
      <c r="Y219" s="95"/>
      <c r="AA219" s="94"/>
    </row>
    <row r="220" spans="23:27" hidden="1">
      <c r="W220" s="96"/>
      <c r="X220" s="96"/>
      <c r="Y220" s="95"/>
      <c r="AA220" s="94"/>
    </row>
    <row r="221" spans="23:27" hidden="1">
      <c r="W221" s="96"/>
      <c r="X221" s="96"/>
      <c r="Y221" s="95"/>
      <c r="AA221" s="94"/>
    </row>
    <row r="222" spans="23:27" hidden="1">
      <c r="W222" s="96"/>
      <c r="X222" s="96"/>
      <c r="Y222" s="95"/>
      <c r="AA222" s="94"/>
    </row>
    <row r="223" spans="23:27" hidden="1">
      <c r="W223" s="96"/>
      <c r="X223" s="96"/>
      <c r="Y223" s="95"/>
      <c r="AA223" s="94"/>
    </row>
    <row r="224" spans="23:27" hidden="1">
      <c r="W224" s="96"/>
      <c r="X224" s="96"/>
      <c r="Y224" s="95"/>
      <c r="AA224" s="94"/>
    </row>
    <row r="225" spans="23:27" hidden="1">
      <c r="W225" s="96"/>
      <c r="X225" s="96"/>
      <c r="Y225" s="95"/>
      <c r="AA225" s="94"/>
    </row>
    <row r="226" spans="23:27" hidden="1">
      <c r="W226" s="96"/>
      <c r="X226" s="96"/>
      <c r="Y226" s="95"/>
      <c r="AA226" s="94"/>
    </row>
    <row r="227" spans="23:27" hidden="1">
      <c r="W227" s="96"/>
      <c r="X227" s="96"/>
      <c r="Y227" s="95"/>
      <c r="AA227" s="94"/>
    </row>
    <row r="228" spans="23:27" hidden="1">
      <c r="W228" s="96"/>
      <c r="X228" s="96"/>
      <c r="Y228" s="95"/>
      <c r="AA228" s="94"/>
    </row>
    <row r="229" spans="23:27" hidden="1">
      <c r="W229" s="96"/>
      <c r="X229" s="96"/>
      <c r="Y229" s="95"/>
      <c r="AA229" s="94"/>
    </row>
    <row r="230" spans="23:27" hidden="1">
      <c r="W230" s="96"/>
      <c r="X230" s="96"/>
      <c r="Y230" s="95"/>
      <c r="AA230" s="94"/>
    </row>
    <row r="231" spans="23:27" hidden="1">
      <c r="W231" s="96"/>
      <c r="X231" s="96"/>
      <c r="Y231" s="95"/>
      <c r="AA231" s="94"/>
    </row>
    <row r="232" spans="23:27" hidden="1">
      <c r="W232" s="96"/>
      <c r="X232" s="96"/>
      <c r="Y232" s="95"/>
      <c r="AA232" s="94"/>
    </row>
    <row r="233" spans="23:27" hidden="1">
      <c r="W233" s="96"/>
      <c r="X233" s="96"/>
      <c r="Y233" s="95"/>
      <c r="AA233" s="94"/>
    </row>
    <row r="234" spans="23:27" hidden="1">
      <c r="W234" s="96"/>
      <c r="X234" s="96"/>
      <c r="Y234" s="95"/>
      <c r="AA234" s="94"/>
    </row>
    <row r="235" spans="23:27" hidden="1">
      <c r="W235" s="96"/>
      <c r="X235" s="96"/>
      <c r="Y235" s="95"/>
      <c r="AA235" s="94"/>
    </row>
    <row r="236" spans="23:27" hidden="1">
      <c r="W236" s="96"/>
      <c r="X236" s="96"/>
      <c r="Y236" s="95"/>
      <c r="AA236" s="94"/>
    </row>
    <row r="237" spans="23:27" hidden="1">
      <c r="W237" s="96"/>
      <c r="X237" s="96"/>
      <c r="Y237" s="95"/>
      <c r="AA237" s="94"/>
    </row>
    <row r="238" spans="23:27" hidden="1">
      <c r="W238" s="96"/>
      <c r="X238" s="96"/>
      <c r="Y238" s="95"/>
      <c r="AA238" s="94"/>
    </row>
    <row r="239" spans="23:27" hidden="1">
      <c r="W239" s="96"/>
      <c r="X239" s="96"/>
      <c r="Y239" s="95"/>
      <c r="AA239" s="94"/>
    </row>
    <row r="240" spans="23:27" hidden="1">
      <c r="W240" s="96"/>
      <c r="X240" s="96"/>
      <c r="Y240" s="95"/>
      <c r="AA240" s="94"/>
    </row>
    <row r="241" spans="23:27" hidden="1">
      <c r="W241" s="96"/>
      <c r="X241" s="96"/>
      <c r="Y241" s="95"/>
      <c r="AA241" s="94"/>
    </row>
    <row r="242" spans="23:27" hidden="1">
      <c r="W242" s="96"/>
      <c r="X242" s="96"/>
      <c r="Y242" s="95"/>
      <c r="AA242" s="94"/>
    </row>
    <row r="243" spans="23:27" hidden="1">
      <c r="W243" s="96"/>
      <c r="X243" s="96"/>
      <c r="Y243" s="95"/>
      <c r="AA243" s="94"/>
    </row>
    <row r="244" spans="23:27" hidden="1">
      <c r="W244" s="96"/>
      <c r="X244" s="96"/>
      <c r="Y244" s="95"/>
      <c r="AA244" s="94"/>
    </row>
    <row r="245" spans="23:27" hidden="1">
      <c r="W245" s="96"/>
      <c r="X245" s="96"/>
      <c r="Y245" s="95"/>
      <c r="AA245" s="94"/>
    </row>
    <row r="246" spans="23:27" hidden="1">
      <c r="W246" s="96"/>
      <c r="X246" s="96"/>
      <c r="Y246" s="95"/>
      <c r="AA246" s="94"/>
    </row>
    <row r="247" spans="23:27" hidden="1">
      <c r="W247" s="96"/>
      <c r="X247" s="96"/>
      <c r="Y247" s="95"/>
      <c r="AA247" s="94"/>
    </row>
    <row r="248" spans="23:27" hidden="1">
      <c r="W248" s="96"/>
      <c r="X248" s="96"/>
      <c r="Y248" s="95"/>
      <c r="AA248" s="94"/>
    </row>
    <row r="249" spans="23:27" hidden="1">
      <c r="W249" s="96"/>
      <c r="X249" s="96"/>
      <c r="Y249" s="95"/>
      <c r="AA249" s="94"/>
    </row>
    <row r="250" spans="23:27" hidden="1">
      <c r="W250" s="96"/>
      <c r="X250" s="96"/>
      <c r="Y250" s="95"/>
      <c r="AA250" s="94"/>
    </row>
    <row r="251" spans="23:27" hidden="1">
      <c r="W251" s="96"/>
      <c r="X251" s="96"/>
      <c r="Y251" s="95"/>
      <c r="AA251" s="94"/>
    </row>
    <row r="252" spans="23:27" hidden="1">
      <c r="W252" s="96"/>
      <c r="X252" s="96"/>
      <c r="Y252" s="95"/>
      <c r="AA252" s="94"/>
    </row>
    <row r="253" spans="23:27" hidden="1">
      <c r="W253" s="96"/>
      <c r="X253" s="96"/>
      <c r="Y253" s="95"/>
      <c r="AA253" s="94"/>
    </row>
    <row r="254" spans="23:27" hidden="1">
      <c r="W254" s="96"/>
      <c r="X254" s="96"/>
      <c r="Y254" s="95"/>
      <c r="AA254" s="94"/>
    </row>
    <row r="255" spans="23:27" hidden="1">
      <c r="W255" s="96"/>
      <c r="X255" s="96"/>
      <c r="Y255" s="95"/>
      <c r="AA255" s="94"/>
    </row>
    <row r="256" spans="23:27" hidden="1">
      <c r="W256" s="96"/>
      <c r="X256" s="96"/>
      <c r="Y256" s="95"/>
      <c r="AA256" s="94"/>
    </row>
    <row r="257" spans="23:27" hidden="1">
      <c r="W257" s="96"/>
      <c r="X257" s="96"/>
      <c r="Y257" s="95"/>
      <c r="AA257" s="94"/>
    </row>
    <row r="258" spans="23:27" hidden="1">
      <c r="W258" s="96"/>
      <c r="X258" s="96"/>
      <c r="Y258" s="95"/>
      <c r="AA258" s="94"/>
    </row>
    <row r="259" spans="23:27" hidden="1">
      <c r="W259" s="96"/>
      <c r="X259" s="96"/>
      <c r="Y259" s="95"/>
      <c r="AA259" s="94"/>
    </row>
    <row r="260" spans="23:27" hidden="1">
      <c r="W260" s="96"/>
      <c r="X260" s="96"/>
      <c r="Y260" s="95"/>
      <c r="AA260" s="94"/>
    </row>
    <row r="261" spans="23:27" hidden="1">
      <c r="W261" s="96"/>
      <c r="X261" s="96"/>
      <c r="Y261" s="95"/>
      <c r="AA261" s="94"/>
    </row>
    <row r="262" spans="23:27" hidden="1">
      <c r="W262" s="96"/>
      <c r="X262" s="96"/>
      <c r="Y262" s="95"/>
      <c r="AA262" s="94"/>
    </row>
    <row r="263" spans="23:27" hidden="1">
      <c r="W263" s="96"/>
      <c r="X263" s="96"/>
      <c r="Y263" s="95"/>
      <c r="AA263" s="94"/>
    </row>
    <row r="264" spans="23:27" hidden="1">
      <c r="W264" s="96"/>
      <c r="X264" s="96"/>
      <c r="Y264" s="95"/>
      <c r="AA264" s="94"/>
    </row>
    <row r="265" spans="23:27" hidden="1">
      <c r="W265" s="96"/>
      <c r="X265" s="96"/>
      <c r="Y265" s="95"/>
      <c r="AA265" s="94"/>
    </row>
    <row r="266" spans="23:27" hidden="1">
      <c r="W266" s="96"/>
      <c r="X266" s="96"/>
      <c r="Y266" s="95"/>
      <c r="AA266" s="94"/>
    </row>
    <row r="267" spans="23:27" hidden="1">
      <c r="W267" s="96"/>
      <c r="X267" s="96"/>
      <c r="Y267" s="95"/>
      <c r="AA267" s="94"/>
    </row>
    <row r="268" spans="23:27" hidden="1">
      <c r="W268" s="96"/>
      <c r="X268" s="96"/>
      <c r="Y268" s="95"/>
      <c r="AA268" s="94"/>
    </row>
    <row r="269" spans="23:27" hidden="1">
      <c r="W269" s="96"/>
      <c r="X269" s="96"/>
      <c r="Y269" s="95"/>
      <c r="AA269" s="94"/>
    </row>
    <row r="270" spans="23:27" hidden="1">
      <c r="W270" s="96"/>
      <c r="X270" s="96"/>
      <c r="Y270" s="95"/>
      <c r="AA270" s="94"/>
    </row>
    <row r="271" spans="23:27" hidden="1">
      <c r="W271" s="96"/>
      <c r="X271" s="96"/>
      <c r="Y271" s="95"/>
      <c r="AA271" s="94"/>
    </row>
    <row r="272" spans="23:27" hidden="1">
      <c r="W272" s="96"/>
      <c r="X272" s="96"/>
      <c r="Y272" s="95"/>
      <c r="AA272" s="94"/>
    </row>
    <row r="273" spans="23:27" hidden="1">
      <c r="W273" s="96"/>
      <c r="X273" s="96"/>
      <c r="Y273" s="95"/>
      <c r="AA273" s="94"/>
    </row>
    <row r="274" spans="23:27" hidden="1">
      <c r="W274" s="96"/>
      <c r="X274" s="96"/>
      <c r="Y274" s="95"/>
      <c r="AA274" s="94"/>
    </row>
    <row r="275" spans="23:27" hidden="1">
      <c r="W275" s="96"/>
      <c r="X275" s="96"/>
      <c r="Y275" s="95"/>
      <c r="AA275" s="94"/>
    </row>
    <row r="276" spans="23:27" hidden="1">
      <c r="W276" s="96"/>
      <c r="X276" s="96"/>
      <c r="Y276" s="95"/>
      <c r="AA276" s="94"/>
    </row>
    <row r="277" spans="23:27" hidden="1">
      <c r="W277" s="96"/>
      <c r="X277" s="96"/>
      <c r="Y277" s="95"/>
      <c r="AA277" s="94"/>
    </row>
    <row r="278" spans="23:27" hidden="1">
      <c r="W278" s="96"/>
      <c r="X278" s="96"/>
      <c r="Y278" s="95"/>
      <c r="AA278" s="94"/>
    </row>
    <row r="279" spans="23:27" hidden="1">
      <c r="W279" s="96"/>
      <c r="X279" s="96"/>
      <c r="Y279" s="95"/>
      <c r="AA279" s="94"/>
    </row>
    <row r="280" spans="23:27" hidden="1">
      <c r="W280" s="96"/>
      <c r="X280" s="96"/>
      <c r="Y280" s="95"/>
      <c r="AA280" s="94"/>
    </row>
    <row r="281" spans="23:27" hidden="1">
      <c r="W281" s="96"/>
      <c r="X281" s="96"/>
      <c r="Y281" s="95"/>
      <c r="AA281" s="94"/>
    </row>
    <row r="282" spans="23:27" hidden="1">
      <c r="W282" s="96"/>
      <c r="X282" s="96"/>
      <c r="Y282" s="95"/>
      <c r="AA282" s="94"/>
    </row>
    <row r="283" spans="23:27" hidden="1">
      <c r="W283" s="96"/>
      <c r="X283" s="96"/>
      <c r="Y283" s="95"/>
      <c r="AA283" s="94"/>
    </row>
    <row r="284" spans="23:27" hidden="1">
      <c r="W284" s="96"/>
      <c r="X284" s="96"/>
      <c r="Y284" s="95"/>
      <c r="AA284" s="94"/>
    </row>
    <row r="285" spans="23:27" hidden="1">
      <c r="W285" s="96"/>
      <c r="X285" s="96"/>
      <c r="Y285" s="95"/>
      <c r="AA285" s="94"/>
    </row>
    <row r="286" spans="23:27" hidden="1">
      <c r="W286" s="96"/>
      <c r="X286" s="96"/>
      <c r="Y286" s="95"/>
      <c r="AA286" s="94"/>
    </row>
    <row r="287" spans="23:27" hidden="1">
      <c r="W287" s="96"/>
      <c r="X287" s="96"/>
      <c r="Y287" s="95"/>
      <c r="AA287" s="94"/>
    </row>
    <row r="288" spans="23:27" hidden="1">
      <c r="W288" s="96"/>
      <c r="X288" s="96"/>
      <c r="Y288" s="95"/>
      <c r="AA288" s="94"/>
    </row>
    <row r="289" spans="23:27" hidden="1">
      <c r="W289" s="96"/>
      <c r="X289" s="96"/>
      <c r="Y289" s="95"/>
      <c r="AA289" s="94"/>
    </row>
    <row r="290" spans="23:27" hidden="1">
      <c r="W290" s="96"/>
      <c r="X290" s="96"/>
      <c r="Y290" s="95"/>
      <c r="AA290" s="94"/>
    </row>
    <row r="291" spans="23:27" hidden="1">
      <c r="W291" s="96"/>
      <c r="X291" s="96"/>
      <c r="Y291" s="95"/>
      <c r="AA291" s="94"/>
    </row>
    <row r="292" spans="23:27" hidden="1">
      <c r="W292" s="96"/>
      <c r="X292" s="96"/>
      <c r="Y292" s="95"/>
      <c r="AA292" s="94"/>
    </row>
    <row r="293" spans="23:27" hidden="1">
      <c r="W293" s="96"/>
      <c r="X293" s="96"/>
      <c r="Y293" s="95"/>
      <c r="AA293" s="94"/>
    </row>
    <row r="294" spans="23:27" hidden="1">
      <c r="W294" s="96"/>
      <c r="X294" s="96"/>
      <c r="Y294" s="95"/>
      <c r="AA294" s="94"/>
    </row>
    <row r="295" spans="23:27" hidden="1">
      <c r="W295" s="96"/>
      <c r="X295" s="96"/>
      <c r="Y295" s="95"/>
      <c r="AA295" s="94"/>
    </row>
    <row r="296" spans="23:27" hidden="1">
      <c r="W296" s="96"/>
      <c r="X296" s="96"/>
      <c r="Y296" s="95"/>
      <c r="AA296" s="94"/>
    </row>
    <row r="297" spans="23:27" hidden="1">
      <c r="W297" s="96"/>
      <c r="X297" s="96"/>
      <c r="Y297" s="95"/>
      <c r="AA297" s="94"/>
    </row>
    <row r="298" spans="23:27" hidden="1">
      <c r="W298" s="96"/>
      <c r="X298" s="96"/>
      <c r="Y298" s="95"/>
      <c r="AA298" s="94"/>
    </row>
    <row r="299" spans="23:27" hidden="1">
      <c r="W299" s="96"/>
      <c r="X299" s="96"/>
      <c r="Y299" s="95"/>
      <c r="AA299" s="94"/>
    </row>
    <row r="300" spans="23:27" hidden="1">
      <c r="W300" s="96"/>
      <c r="X300" s="96"/>
      <c r="Y300" s="95"/>
      <c r="AA300" s="94"/>
    </row>
    <row r="301" spans="23:27" hidden="1">
      <c r="W301" s="96"/>
      <c r="X301" s="96"/>
      <c r="Y301" s="95"/>
      <c r="AA301" s="94"/>
    </row>
    <row r="302" spans="23:27" hidden="1">
      <c r="W302" s="96"/>
      <c r="X302" s="96"/>
      <c r="Y302" s="95"/>
      <c r="AA302" s="94"/>
    </row>
    <row r="303" spans="23:27" hidden="1">
      <c r="W303" s="96"/>
      <c r="X303" s="96"/>
      <c r="Y303" s="95"/>
      <c r="AA303" s="94"/>
    </row>
    <row r="304" spans="23:27" hidden="1">
      <c r="W304" s="96"/>
      <c r="X304" s="96"/>
      <c r="Y304" s="95"/>
      <c r="AA304" s="94"/>
    </row>
    <row r="305" spans="22:40" hidden="1">
      <c r="W305" s="96"/>
      <c r="X305" s="96"/>
      <c r="Y305" s="95"/>
      <c r="AA305" s="94"/>
    </row>
    <row r="306" spans="22:40" hidden="1">
      <c r="W306" s="96"/>
      <c r="X306" s="96"/>
      <c r="Y306" s="95"/>
      <c r="AA306" s="94"/>
    </row>
    <row r="307" spans="22:40" hidden="1"/>
    <row r="308" spans="22:40" hidden="1"/>
    <row r="309" spans="22:40" hidden="1">
      <c r="W309" s="35"/>
    </row>
    <row r="310" spans="22:40" hidden="1">
      <c r="W310" s="35"/>
    </row>
    <row r="311" spans="22:40" hidden="1">
      <c r="W311" s="92"/>
    </row>
    <row r="312" spans="22:40" hidden="1">
      <c r="W312" s="92"/>
    </row>
    <row r="313" spans="22:40" hidden="1"/>
    <row r="314" spans="22:40" hidden="1">
      <c r="AE314" s="36"/>
      <c r="AF314" s="36"/>
      <c r="AG314" s="36"/>
      <c r="AH314" s="36"/>
      <c r="AI314" s="36"/>
      <c r="AJ314" s="36"/>
      <c r="AK314" s="36"/>
      <c r="AL314" s="36"/>
      <c r="AM314" s="36"/>
      <c r="AN314" s="36"/>
    </row>
    <row r="315" spans="22:40" hidden="1">
      <c r="V315" s="36"/>
      <c r="W315" s="36"/>
      <c r="X315" s="36"/>
      <c r="Y315" s="36"/>
      <c r="Z315" s="36"/>
      <c r="AA315" s="36"/>
      <c r="AD315" s="89"/>
      <c r="AE315" s="93"/>
      <c r="AF315" s="93"/>
      <c r="AG315" s="93"/>
      <c r="AH315" s="93"/>
      <c r="AI315" s="93"/>
      <c r="AJ315" s="93"/>
      <c r="AK315" s="93"/>
      <c r="AL315" s="93"/>
      <c r="AM315" s="93"/>
      <c r="AN315" s="93"/>
    </row>
    <row r="316" spans="22:40" hidden="1"/>
    <row r="317" spans="22:40" hidden="1">
      <c r="W317" s="94"/>
      <c r="X317" s="94"/>
      <c r="Y317" s="95"/>
      <c r="AA317" s="94"/>
      <c r="AD317" s="94"/>
    </row>
    <row r="318" spans="22:40" hidden="1">
      <c r="W318" s="94"/>
      <c r="X318" s="94"/>
      <c r="Y318" s="95"/>
      <c r="AA318" s="94"/>
      <c r="AD318" s="94"/>
    </row>
    <row r="319" spans="22:40" hidden="1">
      <c r="W319" s="94"/>
      <c r="X319" s="94"/>
      <c r="Y319" s="95"/>
      <c r="AA319" s="94"/>
      <c r="AE319" s="94"/>
      <c r="AF319" s="94"/>
      <c r="AG319" s="94"/>
      <c r="AH319" s="94"/>
      <c r="AI319" s="94"/>
      <c r="AJ319" s="94"/>
      <c r="AK319" s="94"/>
      <c r="AL319" s="94"/>
      <c r="AM319" s="94"/>
      <c r="AN319" s="94"/>
    </row>
    <row r="320" spans="22:40" hidden="1">
      <c r="W320" s="94"/>
      <c r="X320" s="94"/>
      <c r="Y320" s="95"/>
      <c r="AA320" s="94"/>
      <c r="AE320" s="94"/>
      <c r="AF320" s="94"/>
      <c r="AG320" s="94"/>
      <c r="AH320" s="94"/>
      <c r="AI320" s="94"/>
      <c r="AJ320" s="94"/>
      <c r="AK320" s="94"/>
      <c r="AL320" s="94"/>
      <c r="AM320" s="94"/>
      <c r="AN320" s="94"/>
    </row>
    <row r="321" spans="22:40" hidden="1">
      <c r="W321" s="94"/>
      <c r="X321" s="94"/>
      <c r="Y321" s="95"/>
      <c r="AA321" s="94"/>
      <c r="AE321" s="94"/>
      <c r="AF321" s="94"/>
      <c r="AG321" s="94"/>
      <c r="AH321" s="94"/>
      <c r="AI321" s="94"/>
      <c r="AJ321" s="94"/>
      <c r="AK321" s="94"/>
      <c r="AL321" s="94"/>
      <c r="AM321" s="94"/>
      <c r="AN321" s="94"/>
    </row>
    <row r="322" spans="22:40">
      <c r="W322" s="94"/>
      <c r="X322" s="94"/>
      <c r="Y322" s="95"/>
      <c r="AA322" s="94"/>
    </row>
    <row r="323" spans="22:40">
      <c r="W323" s="94"/>
      <c r="X323" s="94"/>
      <c r="Y323" s="95"/>
      <c r="AA323" s="94"/>
      <c r="AD323" s="94"/>
      <c r="AE323" s="94"/>
      <c r="AF323" s="94"/>
      <c r="AG323" s="94"/>
      <c r="AH323" s="94"/>
      <c r="AI323" s="94"/>
      <c r="AJ323" s="94"/>
      <c r="AK323" s="94"/>
      <c r="AL323" s="94"/>
      <c r="AM323" s="94"/>
      <c r="AN323" s="94"/>
    </row>
    <row r="324" spans="22:40">
      <c r="W324" s="94"/>
      <c r="X324" s="94"/>
      <c r="Y324" s="95"/>
      <c r="AA324" s="94"/>
    </row>
    <row r="325" spans="22:40">
      <c r="W325" s="94"/>
      <c r="X325" s="94"/>
      <c r="Y325" s="95"/>
      <c r="AA325" s="94"/>
    </row>
    <row r="326" spans="22:40">
      <c r="W326" s="94"/>
      <c r="X326" s="94"/>
      <c r="Y326" s="95"/>
      <c r="AA326" s="94"/>
    </row>
    <row r="327" spans="22:40">
      <c r="V327" s="91"/>
    </row>
    <row r="329" spans="22:40">
      <c r="V329" s="36"/>
      <c r="W329" s="36"/>
      <c r="X329" s="36"/>
      <c r="Y329" s="36"/>
      <c r="Z329" s="36"/>
      <c r="AA329" s="36"/>
    </row>
    <row r="331" spans="22:40">
      <c r="W331" s="96"/>
      <c r="X331" s="96"/>
      <c r="Y331" s="95"/>
      <c r="AA331" s="94"/>
    </row>
    <row r="332" spans="22:40">
      <c r="W332" s="96"/>
      <c r="X332" s="96"/>
      <c r="Y332" s="95"/>
      <c r="AA332" s="94"/>
    </row>
    <row r="333" spans="22:40">
      <c r="W333" s="96"/>
      <c r="X333" s="96"/>
      <c r="Y333" s="95"/>
      <c r="AA333" s="94"/>
    </row>
    <row r="334" spans="22:40">
      <c r="W334" s="96"/>
      <c r="X334" s="96"/>
      <c r="Y334" s="95"/>
      <c r="AA334" s="94"/>
    </row>
    <row r="335" spans="22:40">
      <c r="W335" s="96"/>
      <c r="X335" s="96"/>
      <c r="Y335" s="95"/>
      <c r="AA335" s="94"/>
    </row>
    <row r="336" spans="22:40">
      <c r="W336" s="96"/>
      <c r="X336" s="96"/>
      <c r="Y336" s="95"/>
      <c r="AA336" s="94"/>
    </row>
    <row r="337" spans="23:27">
      <c r="W337" s="96"/>
      <c r="X337" s="96"/>
      <c r="Y337" s="95"/>
      <c r="AA337" s="94"/>
    </row>
    <row r="338" spans="23:27">
      <c r="W338" s="96"/>
      <c r="X338" s="96"/>
      <c r="Y338" s="95"/>
      <c r="AA338" s="94"/>
    </row>
    <row r="339" spans="23:27">
      <c r="W339" s="96"/>
      <c r="X339" s="96"/>
      <c r="Y339" s="95"/>
      <c r="AA339" s="94"/>
    </row>
    <row r="340" spans="23:27">
      <c r="W340" s="96"/>
      <c r="X340" s="96"/>
      <c r="Y340" s="95"/>
      <c r="AA340" s="94"/>
    </row>
    <row r="341" spans="23:27">
      <c r="W341" s="96"/>
      <c r="X341" s="96"/>
      <c r="Y341" s="95"/>
      <c r="AA341" s="94"/>
    </row>
    <row r="342" spans="23:27">
      <c r="W342" s="96"/>
      <c r="X342" s="96"/>
      <c r="Y342" s="95"/>
      <c r="AA342" s="94"/>
    </row>
    <row r="343" spans="23:27">
      <c r="W343" s="96"/>
      <c r="X343" s="96"/>
      <c r="Y343" s="95"/>
      <c r="AA343" s="94"/>
    </row>
    <row r="344" spans="23:27" hidden="1">
      <c r="W344" s="96"/>
      <c r="X344" s="96"/>
      <c r="Y344" s="95"/>
      <c r="AA344" s="94"/>
    </row>
    <row r="345" spans="23:27" hidden="1">
      <c r="W345" s="96"/>
      <c r="X345" s="96"/>
      <c r="Y345" s="95"/>
      <c r="AA345" s="94"/>
    </row>
    <row r="346" spans="23:27" hidden="1">
      <c r="W346" s="96"/>
      <c r="X346" s="96"/>
      <c r="Y346" s="95"/>
      <c r="AA346" s="94"/>
    </row>
    <row r="347" spans="23:27" hidden="1">
      <c r="W347" s="96"/>
      <c r="X347" s="96"/>
      <c r="Y347" s="95"/>
      <c r="AA347" s="94"/>
    </row>
    <row r="348" spans="23:27" hidden="1">
      <c r="W348" s="96"/>
      <c r="X348" s="96"/>
      <c r="Y348" s="95"/>
      <c r="AA348" s="94"/>
    </row>
    <row r="349" spans="23:27" hidden="1">
      <c r="W349" s="96"/>
      <c r="X349" s="96"/>
      <c r="Y349" s="95"/>
      <c r="AA349" s="94"/>
    </row>
    <row r="350" spans="23:27" hidden="1">
      <c r="W350" s="96"/>
      <c r="X350" s="96"/>
      <c r="Y350" s="95"/>
      <c r="AA350" s="94"/>
    </row>
    <row r="351" spans="23:27" hidden="1">
      <c r="W351" s="96"/>
      <c r="X351" s="96"/>
      <c r="Y351" s="95"/>
      <c r="AA351" s="94"/>
    </row>
    <row r="352" spans="23:27" hidden="1">
      <c r="W352" s="96"/>
      <c r="X352" s="96"/>
      <c r="Y352" s="95"/>
      <c r="AA352" s="94"/>
    </row>
    <row r="353" spans="23:27" hidden="1">
      <c r="W353" s="96"/>
      <c r="X353" s="96"/>
      <c r="Y353" s="95"/>
      <c r="AA353" s="94"/>
    </row>
    <row r="354" spans="23:27" hidden="1">
      <c r="W354" s="96"/>
      <c r="X354" s="96"/>
      <c r="Y354" s="95"/>
      <c r="AA354" s="94"/>
    </row>
    <row r="355" spans="23:27" hidden="1">
      <c r="W355" s="96"/>
      <c r="X355" s="96"/>
      <c r="Y355" s="95"/>
      <c r="AA355" s="94"/>
    </row>
    <row r="356" spans="23:27" hidden="1">
      <c r="W356" s="96"/>
      <c r="X356" s="96"/>
      <c r="Y356" s="95"/>
      <c r="AA356" s="94"/>
    </row>
    <row r="357" spans="23:27" hidden="1">
      <c r="W357" s="96"/>
      <c r="X357" s="96"/>
      <c r="Y357" s="95"/>
      <c r="AA357" s="94"/>
    </row>
    <row r="358" spans="23:27" hidden="1">
      <c r="W358" s="96"/>
      <c r="X358" s="96"/>
      <c r="Y358" s="95"/>
      <c r="AA358" s="94"/>
    </row>
    <row r="359" spans="23:27" hidden="1">
      <c r="W359" s="96"/>
      <c r="X359" s="96"/>
      <c r="Y359" s="95"/>
      <c r="AA359" s="94"/>
    </row>
    <row r="360" spans="23:27" hidden="1">
      <c r="W360" s="96"/>
      <c r="X360" s="96"/>
      <c r="Y360" s="95"/>
      <c r="AA360" s="94"/>
    </row>
    <row r="361" spans="23:27" hidden="1">
      <c r="W361" s="96"/>
      <c r="X361" s="96"/>
      <c r="Y361" s="95"/>
      <c r="AA361" s="94"/>
    </row>
    <row r="362" spans="23:27" hidden="1">
      <c r="W362" s="96"/>
      <c r="X362" s="96"/>
      <c r="Y362" s="95"/>
      <c r="AA362" s="94"/>
    </row>
    <row r="363" spans="23:27" hidden="1">
      <c r="W363" s="96"/>
      <c r="X363" s="96"/>
      <c r="Y363" s="95"/>
      <c r="AA363" s="94"/>
    </row>
    <row r="364" spans="23:27" hidden="1">
      <c r="W364" s="96"/>
      <c r="X364" s="96"/>
      <c r="Y364" s="95"/>
      <c r="AA364" s="94"/>
    </row>
    <row r="365" spans="23:27" hidden="1">
      <c r="W365" s="96"/>
      <c r="X365" s="96"/>
      <c r="Y365" s="95"/>
      <c r="AA365" s="94"/>
    </row>
    <row r="366" spans="23:27" hidden="1">
      <c r="W366" s="96"/>
      <c r="X366" s="96"/>
      <c r="Y366" s="95"/>
      <c r="AA366" s="94"/>
    </row>
    <row r="367" spans="23:27" hidden="1">
      <c r="W367" s="96"/>
      <c r="X367" s="96"/>
      <c r="Y367" s="95"/>
      <c r="AA367" s="94"/>
    </row>
    <row r="368" spans="23:27" hidden="1">
      <c r="W368" s="96"/>
      <c r="X368" s="96"/>
      <c r="Y368" s="95"/>
      <c r="AA368" s="94"/>
    </row>
    <row r="369" spans="23:27" hidden="1">
      <c r="W369" s="96"/>
      <c r="X369" s="96"/>
      <c r="Y369" s="95"/>
      <c r="AA369" s="94"/>
    </row>
    <row r="370" spans="23:27" hidden="1">
      <c r="W370" s="96"/>
      <c r="X370" s="96"/>
      <c r="Y370" s="95"/>
      <c r="AA370" s="94"/>
    </row>
    <row r="371" spans="23:27" hidden="1">
      <c r="W371" s="96"/>
      <c r="X371" s="96"/>
      <c r="Y371" s="95"/>
      <c r="AA371" s="94"/>
    </row>
    <row r="372" spans="23:27" hidden="1">
      <c r="W372" s="96"/>
      <c r="X372" s="96"/>
      <c r="Y372" s="95"/>
      <c r="AA372" s="94"/>
    </row>
    <row r="373" spans="23:27" hidden="1">
      <c r="W373" s="96"/>
      <c r="X373" s="96"/>
      <c r="Y373" s="95"/>
      <c r="AA373" s="94"/>
    </row>
    <row r="374" spans="23:27" hidden="1">
      <c r="W374" s="96"/>
      <c r="X374" s="96"/>
      <c r="Y374" s="95"/>
      <c r="AA374" s="94"/>
    </row>
    <row r="375" spans="23:27" hidden="1">
      <c r="W375" s="96"/>
      <c r="X375" s="96"/>
      <c r="Y375" s="95"/>
      <c r="AA375" s="94"/>
    </row>
    <row r="376" spans="23:27" hidden="1">
      <c r="W376" s="96"/>
      <c r="X376" s="96"/>
      <c r="Y376" s="95"/>
      <c r="AA376" s="94"/>
    </row>
    <row r="377" spans="23:27" hidden="1">
      <c r="W377" s="96"/>
      <c r="X377" s="96"/>
      <c r="Y377" s="95"/>
      <c r="AA377" s="94"/>
    </row>
    <row r="378" spans="23:27" hidden="1">
      <c r="W378" s="96"/>
      <c r="X378" s="96"/>
      <c r="Y378" s="95"/>
      <c r="AA378" s="94"/>
    </row>
    <row r="379" spans="23:27" hidden="1">
      <c r="W379" s="96"/>
      <c r="X379" s="96"/>
      <c r="Y379" s="95"/>
      <c r="AA379" s="94"/>
    </row>
    <row r="380" spans="23:27" hidden="1">
      <c r="W380" s="96"/>
      <c r="X380" s="96"/>
      <c r="Y380" s="95"/>
      <c r="AA380" s="94"/>
    </row>
    <row r="381" spans="23:27" hidden="1">
      <c r="W381" s="96"/>
      <c r="X381" s="96"/>
      <c r="Y381" s="95"/>
      <c r="AA381" s="94"/>
    </row>
    <row r="382" spans="23:27" hidden="1">
      <c r="W382" s="96"/>
      <c r="X382" s="96"/>
      <c r="Y382" s="95"/>
      <c r="AA382" s="94"/>
    </row>
    <row r="383" spans="23:27" hidden="1">
      <c r="W383" s="96"/>
      <c r="X383" s="96"/>
      <c r="Y383" s="95"/>
      <c r="AA383" s="94"/>
    </row>
    <row r="384" spans="23:27" hidden="1">
      <c r="W384" s="96"/>
      <c r="X384" s="96"/>
      <c r="Y384" s="95"/>
      <c r="AA384" s="94"/>
    </row>
    <row r="385" spans="23:27" hidden="1">
      <c r="W385" s="96"/>
      <c r="X385" s="96"/>
      <c r="Y385" s="95"/>
      <c r="AA385" s="94"/>
    </row>
    <row r="386" spans="23:27" hidden="1">
      <c r="W386" s="96"/>
      <c r="X386" s="96"/>
      <c r="Y386" s="95"/>
      <c r="AA386" s="94"/>
    </row>
    <row r="387" spans="23:27" hidden="1">
      <c r="W387" s="96"/>
      <c r="X387" s="96"/>
      <c r="Y387" s="95"/>
      <c r="AA387" s="94"/>
    </row>
    <row r="388" spans="23:27" hidden="1">
      <c r="W388" s="96"/>
      <c r="X388" s="96"/>
      <c r="Y388" s="95"/>
      <c r="AA388" s="94"/>
    </row>
    <row r="389" spans="23:27" hidden="1">
      <c r="W389" s="96"/>
      <c r="X389" s="96"/>
      <c r="Y389" s="95"/>
      <c r="AA389" s="94"/>
    </row>
    <row r="390" spans="23:27" hidden="1">
      <c r="W390" s="96"/>
      <c r="X390" s="96"/>
      <c r="Y390" s="95"/>
      <c r="AA390" s="94"/>
    </row>
    <row r="391" spans="23:27" hidden="1">
      <c r="W391" s="96"/>
      <c r="X391" s="96"/>
      <c r="Y391" s="95"/>
      <c r="AA391" s="94"/>
    </row>
    <row r="392" spans="23:27" hidden="1">
      <c r="W392" s="96"/>
      <c r="X392" s="96"/>
      <c r="Y392" s="95"/>
      <c r="AA392" s="94"/>
    </row>
    <row r="393" spans="23:27" hidden="1">
      <c r="W393" s="96"/>
      <c r="X393" s="96"/>
      <c r="Y393" s="95"/>
      <c r="AA393" s="94"/>
    </row>
    <row r="394" spans="23:27" hidden="1">
      <c r="W394" s="96"/>
      <c r="X394" s="96"/>
      <c r="Y394" s="95"/>
      <c r="AA394" s="94"/>
    </row>
    <row r="395" spans="23:27" hidden="1">
      <c r="W395" s="96"/>
      <c r="X395" s="96"/>
      <c r="Y395" s="95"/>
      <c r="AA395" s="94"/>
    </row>
    <row r="396" spans="23:27" hidden="1">
      <c r="W396" s="96"/>
      <c r="X396" s="96"/>
      <c r="Y396" s="95"/>
      <c r="AA396" s="94"/>
    </row>
    <row r="397" spans="23:27" hidden="1">
      <c r="W397" s="96"/>
      <c r="X397" s="96"/>
      <c r="Y397" s="95"/>
      <c r="AA397" s="94"/>
    </row>
    <row r="398" spans="23:27" hidden="1">
      <c r="W398" s="96"/>
      <c r="X398" s="96"/>
      <c r="Y398" s="95"/>
      <c r="AA398" s="94"/>
    </row>
    <row r="399" spans="23:27" hidden="1">
      <c r="W399" s="96"/>
      <c r="X399" s="96"/>
      <c r="Y399" s="95"/>
      <c r="AA399" s="94"/>
    </row>
    <row r="400" spans="23:27" hidden="1">
      <c r="W400" s="96"/>
      <c r="X400" s="96"/>
      <c r="Y400" s="95"/>
      <c r="AA400" s="94"/>
    </row>
    <row r="401" spans="23:27" hidden="1">
      <c r="W401" s="96"/>
      <c r="X401" s="96"/>
      <c r="Y401" s="95"/>
      <c r="AA401" s="94"/>
    </row>
    <row r="402" spans="23:27" hidden="1">
      <c r="W402" s="96"/>
      <c r="X402" s="96"/>
      <c r="Y402" s="95"/>
      <c r="AA402" s="94"/>
    </row>
    <row r="403" spans="23:27" hidden="1">
      <c r="W403" s="96"/>
      <c r="X403" s="96"/>
      <c r="Y403" s="95"/>
      <c r="AA403" s="94"/>
    </row>
    <row r="404" spans="23:27" hidden="1">
      <c r="W404" s="96"/>
      <c r="X404" s="96"/>
      <c r="Y404" s="95"/>
      <c r="AA404" s="94"/>
    </row>
    <row r="405" spans="23:27" hidden="1">
      <c r="W405" s="96"/>
      <c r="X405" s="96"/>
      <c r="Y405" s="95"/>
      <c r="AA405" s="94"/>
    </row>
    <row r="406" spans="23:27" hidden="1">
      <c r="W406" s="96"/>
      <c r="X406" s="96"/>
      <c r="Y406" s="95"/>
      <c r="AA406" s="94"/>
    </row>
    <row r="407" spans="23:27" hidden="1">
      <c r="W407" s="96"/>
      <c r="X407" s="96"/>
      <c r="Y407" s="95"/>
      <c r="AA407" s="94"/>
    </row>
    <row r="408" spans="23:27" hidden="1">
      <c r="W408" s="96"/>
      <c r="X408" s="96"/>
      <c r="Y408" s="95"/>
      <c r="AA408" s="94"/>
    </row>
    <row r="409" spans="23:27" hidden="1">
      <c r="W409" s="96"/>
      <c r="X409" s="96"/>
      <c r="Y409" s="95"/>
      <c r="AA409" s="94"/>
    </row>
    <row r="410" spans="23:27" hidden="1">
      <c r="W410" s="96"/>
      <c r="X410" s="96"/>
      <c r="Y410" s="95"/>
      <c r="AA410" s="94"/>
    </row>
    <row r="411" spans="23:27" hidden="1">
      <c r="W411" s="96"/>
      <c r="X411" s="96"/>
      <c r="Y411" s="95"/>
      <c r="AA411" s="94"/>
    </row>
    <row r="412" spans="23:27" hidden="1">
      <c r="W412" s="96"/>
      <c r="X412" s="96"/>
      <c r="Y412" s="95"/>
      <c r="AA412" s="94"/>
    </row>
    <row r="413" spans="23:27" hidden="1">
      <c r="W413" s="96"/>
      <c r="X413" s="96"/>
      <c r="Y413" s="95"/>
      <c r="AA413" s="94"/>
    </row>
    <row r="414" spans="23:27" hidden="1">
      <c r="W414" s="96"/>
      <c r="X414" s="96"/>
      <c r="Y414" s="95"/>
      <c r="AA414" s="94"/>
    </row>
    <row r="415" spans="23:27" hidden="1">
      <c r="W415" s="96"/>
      <c r="X415" s="96"/>
      <c r="Y415" s="95"/>
      <c r="AA415" s="94"/>
    </row>
    <row r="416" spans="23:27" hidden="1">
      <c r="W416" s="96"/>
      <c r="X416" s="96"/>
      <c r="Y416" s="95"/>
      <c r="AA416" s="94"/>
    </row>
    <row r="417" spans="23:27" hidden="1">
      <c r="W417" s="96"/>
      <c r="X417" s="96"/>
      <c r="Y417" s="95"/>
      <c r="AA417" s="94"/>
    </row>
    <row r="418" spans="23:27" hidden="1">
      <c r="W418" s="96"/>
      <c r="X418" s="96"/>
      <c r="Y418" s="95"/>
      <c r="AA418" s="94"/>
    </row>
    <row r="419" spans="23:27" hidden="1">
      <c r="W419" s="96"/>
      <c r="X419" s="96"/>
      <c r="Y419" s="95"/>
      <c r="AA419" s="94"/>
    </row>
    <row r="420" spans="23:27" hidden="1">
      <c r="W420" s="96"/>
      <c r="X420" s="96"/>
      <c r="Y420" s="95"/>
      <c r="AA420" s="94"/>
    </row>
    <row r="421" spans="23:27" hidden="1">
      <c r="W421" s="96"/>
      <c r="X421" s="96"/>
      <c r="Y421" s="95"/>
      <c r="AA421" s="94"/>
    </row>
    <row r="422" spans="23:27" hidden="1">
      <c r="W422" s="96"/>
      <c r="X422" s="96"/>
      <c r="Y422" s="95"/>
      <c r="AA422" s="94"/>
    </row>
    <row r="423" spans="23:27" hidden="1">
      <c r="W423" s="96"/>
      <c r="X423" s="96"/>
      <c r="Y423" s="95"/>
      <c r="AA423" s="94"/>
    </row>
    <row r="424" spans="23:27" hidden="1">
      <c r="W424" s="96"/>
      <c r="X424" s="96"/>
      <c r="Y424" s="95"/>
      <c r="AA424" s="94"/>
    </row>
    <row r="425" spans="23:27" hidden="1">
      <c r="W425" s="96"/>
      <c r="X425" s="96"/>
      <c r="Y425" s="95"/>
      <c r="AA425" s="94"/>
    </row>
    <row r="426" spans="23:27" hidden="1">
      <c r="W426" s="96"/>
      <c r="X426" s="96"/>
      <c r="Y426" s="95"/>
      <c r="AA426" s="94"/>
    </row>
    <row r="427" spans="23:27" hidden="1">
      <c r="W427" s="96"/>
      <c r="X427" s="96"/>
      <c r="Y427" s="95"/>
      <c r="AA427" s="94"/>
    </row>
    <row r="428" spans="23:27" hidden="1">
      <c r="W428" s="96"/>
      <c r="X428" s="96"/>
      <c r="Y428" s="95"/>
      <c r="AA428" s="94"/>
    </row>
    <row r="429" spans="23:27" hidden="1">
      <c r="W429" s="96"/>
      <c r="X429" s="96"/>
      <c r="Y429" s="95"/>
      <c r="AA429" s="94"/>
    </row>
    <row r="430" spans="23:27" hidden="1">
      <c r="W430" s="96"/>
      <c r="X430" s="96"/>
      <c r="Y430" s="95"/>
      <c r="AA430" s="94"/>
    </row>
    <row r="431" spans="23:27" hidden="1">
      <c r="W431" s="96"/>
      <c r="X431" s="96"/>
      <c r="Y431" s="95"/>
      <c r="AA431" s="94"/>
    </row>
    <row r="432" spans="23:27" hidden="1">
      <c r="W432" s="96"/>
      <c r="X432" s="96"/>
      <c r="Y432" s="95"/>
      <c r="AA432" s="94"/>
    </row>
    <row r="433" spans="23:27" hidden="1">
      <c r="W433" s="96"/>
      <c r="X433" s="96"/>
      <c r="Y433" s="95"/>
      <c r="AA433" s="94"/>
    </row>
    <row r="434" spans="23:27" hidden="1">
      <c r="W434" s="96"/>
      <c r="X434" s="96"/>
      <c r="Y434" s="95"/>
      <c r="AA434" s="94"/>
    </row>
    <row r="435" spans="23:27" hidden="1">
      <c r="W435" s="96"/>
      <c r="X435" s="96"/>
      <c r="Y435" s="95"/>
      <c r="AA435" s="94"/>
    </row>
    <row r="436" spans="23:27" hidden="1">
      <c r="W436" s="96"/>
      <c r="X436" s="96"/>
      <c r="Y436" s="95"/>
      <c r="AA436" s="94"/>
    </row>
    <row r="437" spans="23:27" hidden="1">
      <c r="W437" s="96"/>
      <c r="X437" s="96"/>
      <c r="Y437" s="95"/>
      <c r="AA437" s="94"/>
    </row>
    <row r="438" spans="23:27" hidden="1">
      <c r="W438" s="96"/>
      <c r="X438" s="96"/>
      <c r="Y438" s="95"/>
      <c r="AA438" s="94"/>
    </row>
    <row r="439" spans="23:27" hidden="1">
      <c r="W439" s="96"/>
      <c r="X439" s="96"/>
      <c r="Y439" s="95"/>
      <c r="AA439" s="94"/>
    </row>
    <row r="440" spans="23:27" hidden="1">
      <c r="W440" s="96"/>
      <c r="X440" s="96"/>
      <c r="Y440" s="95"/>
      <c r="AA440" s="94"/>
    </row>
    <row r="441" spans="23:27" hidden="1">
      <c r="W441" s="96"/>
      <c r="X441" s="96"/>
      <c r="Y441" s="95"/>
      <c r="AA441" s="94"/>
    </row>
    <row r="442" spans="23:27" hidden="1">
      <c r="W442" s="96"/>
      <c r="X442" s="96"/>
      <c r="Y442" s="95"/>
      <c r="AA442" s="94"/>
    </row>
    <row r="443" spans="23:27" hidden="1">
      <c r="W443" s="96"/>
      <c r="X443" s="96"/>
      <c r="Y443" s="95"/>
      <c r="AA443" s="94"/>
    </row>
    <row r="444" spans="23:27" hidden="1">
      <c r="W444" s="96"/>
      <c r="X444" s="96"/>
      <c r="Y444" s="95"/>
      <c r="AA444" s="94"/>
    </row>
    <row r="445" spans="23:27" hidden="1">
      <c r="W445" s="96"/>
      <c r="X445" s="96"/>
      <c r="Y445" s="95"/>
      <c r="AA445" s="94"/>
    </row>
    <row r="446" spans="23:27" hidden="1">
      <c r="W446" s="96"/>
      <c r="X446" s="96"/>
      <c r="Y446" s="95"/>
      <c r="AA446" s="94"/>
    </row>
    <row r="447" spans="23:27" hidden="1">
      <c r="W447" s="96"/>
      <c r="X447" s="96"/>
      <c r="Y447" s="95"/>
      <c r="AA447" s="94"/>
    </row>
    <row r="448" spans="23:27" hidden="1">
      <c r="W448" s="96"/>
      <c r="X448" s="96"/>
      <c r="Y448" s="95"/>
      <c r="AA448" s="94"/>
    </row>
    <row r="449" spans="22:40" hidden="1">
      <c r="W449" s="96"/>
      <c r="X449" s="96"/>
      <c r="Y449" s="95"/>
      <c r="AA449" s="94"/>
    </row>
    <row r="450" spans="22:40" hidden="1">
      <c r="W450" s="96"/>
      <c r="X450" s="96"/>
      <c r="Y450" s="95"/>
      <c r="AA450" s="94"/>
    </row>
    <row r="451" spans="22:40" hidden="1"/>
    <row r="452" spans="22:40" hidden="1"/>
    <row r="453" spans="22:40" hidden="1">
      <c r="W453" s="35"/>
    </row>
    <row r="454" spans="22:40" hidden="1">
      <c r="W454" s="35"/>
    </row>
    <row r="455" spans="22:40" hidden="1">
      <c r="W455" s="92"/>
    </row>
    <row r="456" spans="22:40" hidden="1">
      <c r="W456" s="92"/>
    </row>
    <row r="457" spans="22:40" hidden="1"/>
    <row r="458" spans="22:40" hidden="1">
      <c r="AE458" s="36"/>
      <c r="AF458" s="36"/>
      <c r="AG458" s="36"/>
      <c r="AH458" s="36"/>
      <c r="AI458" s="36"/>
      <c r="AJ458" s="36"/>
      <c r="AK458" s="36"/>
      <c r="AL458" s="36"/>
      <c r="AM458" s="36"/>
      <c r="AN458" s="36"/>
    </row>
    <row r="459" spans="22:40" hidden="1">
      <c r="V459" s="36"/>
      <c r="W459" s="36"/>
      <c r="X459" s="36"/>
      <c r="Y459" s="36"/>
      <c r="Z459" s="36"/>
      <c r="AA459" s="36"/>
      <c r="AD459" s="89"/>
      <c r="AE459" s="93"/>
      <c r="AF459" s="93"/>
      <c r="AG459" s="93"/>
      <c r="AH459" s="93"/>
      <c r="AI459" s="93"/>
      <c r="AJ459" s="93"/>
      <c r="AK459" s="93"/>
      <c r="AL459" s="93"/>
      <c r="AM459" s="93"/>
      <c r="AN459" s="93"/>
    </row>
    <row r="460" spans="22:40" hidden="1"/>
    <row r="461" spans="22:40" hidden="1">
      <c r="W461" s="94"/>
      <c r="X461" s="94"/>
      <c r="Y461" s="95"/>
      <c r="AA461" s="94"/>
      <c r="AD461" s="94"/>
    </row>
    <row r="462" spans="22:40" hidden="1">
      <c r="W462" s="94"/>
      <c r="X462" s="94"/>
      <c r="Y462" s="95"/>
      <c r="AA462" s="94"/>
      <c r="AD462" s="94"/>
    </row>
    <row r="463" spans="22:40" hidden="1">
      <c r="W463" s="94"/>
      <c r="X463" s="94"/>
      <c r="Y463" s="95"/>
      <c r="AA463" s="94"/>
      <c r="AE463" s="94"/>
      <c r="AF463" s="94"/>
      <c r="AG463" s="94"/>
      <c r="AH463" s="94"/>
      <c r="AI463" s="94"/>
      <c r="AJ463" s="94"/>
      <c r="AK463" s="94"/>
      <c r="AL463" s="94"/>
      <c r="AM463" s="94"/>
      <c r="AN463" s="94"/>
    </row>
    <row r="464" spans="22:40" hidden="1">
      <c r="W464" s="94"/>
      <c r="X464" s="94"/>
      <c r="Y464" s="95"/>
      <c r="AA464" s="94"/>
      <c r="AE464" s="94"/>
      <c r="AF464" s="94"/>
      <c r="AG464" s="94"/>
      <c r="AH464" s="94"/>
      <c r="AI464" s="94"/>
      <c r="AJ464" s="94"/>
      <c r="AK464" s="94"/>
      <c r="AL464" s="94"/>
      <c r="AM464" s="94"/>
      <c r="AN464" s="94"/>
    </row>
    <row r="465" spans="22:40" hidden="1">
      <c r="W465" s="94"/>
      <c r="X465" s="94"/>
      <c r="Y465" s="95"/>
      <c r="AA465" s="94"/>
      <c r="AE465" s="94"/>
      <c r="AF465" s="94"/>
      <c r="AG465" s="94"/>
      <c r="AH465" s="94"/>
      <c r="AI465" s="94"/>
      <c r="AJ465" s="94"/>
      <c r="AK465" s="94"/>
      <c r="AL465" s="94"/>
      <c r="AM465" s="94"/>
      <c r="AN465" s="94"/>
    </row>
    <row r="466" spans="22:40">
      <c r="W466" s="94"/>
      <c r="X466" s="94"/>
      <c r="Y466" s="95"/>
      <c r="AA466" s="94"/>
    </row>
    <row r="467" spans="22:40">
      <c r="W467" s="94"/>
      <c r="X467" s="94"/>
      <c r="Y467" s="95"/>
      <c r="AA467" s="94"/>
      <c r="AD467" s="94"/>
      <c r="AE467" s="94"/>
      <c r="AF467" s="94"/>
      <c r="AG467" s="94"/>
      <c r="AH467" s="94"/>
      <c r="AI467" s="94"/>
      <c r="AJ467" s="94"/>
      <c r="AK467" s="94"/>
      <c r="AL467" s="94"/>
      <c r="AM467" s="94"/>
      <c r="AN467" s="94"/>
    </row>
    <row r="468" spans="22:40">
      <c r="W468" s="94"/>
      <c r="X468" s="94"/>
      <c r="Y468" s="95"/>
      <c r="AA468" s="94"/>
    </row>
    <row r="469" spans="22:40">
      <c r="W469" s="94"/>
      <c r="X469" s="94"/>
      <c r="Y469" s="95"/>
      <c r="AA469" s="94"/>
    </row>
    <row r="470" spans="22:40">
      <c r="W470" s="94"/>
      <c r="X470" s="94"/>
      <c r="Y470" s="95"/>
      <c r="AA470" s="94"/>
    </row>
    <row r="471" spans="22:40">
      <c r="V471" s="91"/>
    </row>
    <row r="473" spans="22:40">
      <c r="V473" s="36"/>
      <c r="W473" s="36"/>
      <c r="X473" s="36"/>
      <c r="Y473" s="36"/>
      <c r="Z473" s="36"/>
      <c r="AA473" s="36"/>
    </row>
    <row r="475" spans="22:40">
      <c r="W475" s="96"/>
      <c r="X475" s="96"/>
      <c r="Y475" s="95"/>
      <c r="AA475" s="94"/>
    </row>
    <row r="476" spans="22:40">
      <c r="W476" s="96"/>
      <c r="X476" s="96"/>
      <c r="Y476" s="95"/>
      <c r="AA476" s="94"/>
    </row>
    <row r="477" spans="22:40">
      <c r="W477" s="96"/>
      <c r="X477" s="96"/>
      <c r="Y477" s="95"/>
      <c r="AA477" s="94"/>
    </row>
    <row r="478" spans="22:40">
      <c r="W478" s="96"/>
      <c r="X478" s="96"/>
      <c r="Y478" s="95"/>
      <c r="AA478" s="94"/>
    </row>
    <row r="479" spans="22:40">
      <c r="W479" s="96"/>
      <c r="X479" s="96"/>
      <c r="Y479" s="95"/>
      <c r="AA479" s="94"/>
    </row>
    <row r="480" spans="22:40">
      <c r="W480" s="96"/>
      <c r="X480" s="96"/>
      <c r="Y480" s="95"/>
      <c r="AA480" s="94"/>
    </row>
    <row r="481" spans="23:27">
      <c r="W481" s="96"/>
      <c r="X481" s="96"/>
      <c r="Y481" s="95"/>
      <c r="AA481" s="94"/>
    </row>
    <row r="482" spans="23:27">
      <c r="W482" s="96"/>
      <c r="X482" s="96"/>
      <c r="Y482" s="95"/>
      <c r="AA482" s="94"/>
    </row>
    <row r="483" spans="23:27">
      <c r="W483" s="96"/>
      <c r="X483" s="96"/>
      <c r="Y483" s="95"/>
      <c r="AA483" s="94"/>
    </row>
    <row r="484" spans="23:27">
      <c r="W484" s="96"/>
      <c r="X484" s="96"/>
      <c r="Y484" s="95"/>
      <c r="AA484" s="94"/>
    </row>
    <row r="485" spans="23:27">
      <c r="W485" s="96"/>
      <c r="X485" s="96"/>
      <c r="Y485" s="95"/>
      <c r="AA485" s="94"/>
    </row>
    <row r="486" spans="23:27">
      <c r="W486" s="96"/>
      <c r="X486" s="96"/>
      <c r="Y486" s="95"/>
      <c r="AA486" s="94"/>
    </row>
    <row r="487" spans="23:27">
      <c r="W487" s="96"/>
      <c r="X487" s="96"/>
      <c r="Y487" s="95"/>
      <c r="AA487" s="94"/>
    </row>
    <row r="488" spans="23:27" hidden="1">
      <c r="W488" s="96"/>
      <c r="X488" s="96"/>
      <c r="Y488" s="95"/>
      <c r="AA488" s="94"/>
    </row>
    <row r="489" spans="23:27" hidden="1">
      <c r="W489" s="96"/>
      <c r="X489" s="96"/>
      <c r="Y489" s="95"/>
      <c r="AA489" s="94"/>
    </row>
    <row r="490" spans="23:27" hidden="1">
      <c r="W490" s="96"/>
      <c r="X490" s="96"/>
      <c r="Y490" s="95"/>
      <c r="AA490" s="94"/>
    </row>
    <row r="491" spans="23:27" hidden="1">
      <c r="W491" s="96"/>
      <c r="X491" s="96"/>
      <c r="Y491" s="95"/>
      <c r="AA491" s="94"/>
    </row>
    <row r="492" spans="23:27" hidden="1">
      <c r="W492" s="96"/>
      <c r="X492" s="96"/>
      <c r="Y492" s="95"/>
      <c r="AA492" s="94"/>
    </row>
    <row r="493" spans="23:27" hidden="1">
      <c r="W493" s="96"/>
      <c r="X493" s="96"/>
      <c r="Y493" s="95"/>
      <c r="AA493" s="94"/>
    </row>
    <row r="494" spans="23:27" hidden="1">
      <c r="W494" s="96"/>
      <c r="X494" s="96"/>
      <c r="Y494" s="95"/>
      <c r="AA494" s="94"/>
    </row>
    <row r="495" spans="23:27" hidden="1">
      <c r="W495" s="96"/>
      <c r="X495" s="96"/>
      <c r="Y495" s="95"/>
      <c r="AA495" s="94"/>
    </row>
    <row r="496" spans="23:27" hidden="1">
      <c r="W496" s="96"/>
      <c r="X496" s="96"/>
      <c r="Y496" s="95"/>
      <c r="AA496" s="94"/>
    </row>
    <row r="497" spans="23:27" hidden="1">
      <c r="W497" s="96"/>
      <c r="X497" s="96"/>
      <c r="Y497" s="95"/>
      <c r="AA497" s="94"/>
    </row>
    <row r="498" spans="23:27" hidden="1">
      <c r="W498" s="96"/>
      <c r="X498" s="96"/>
      <c r="Y498" s="95"/>
      <c r="AA498" s="94"/>
    </row>
    <row r="499" spans="23:27" hidden="1">
      <c r="W499" s="96"/>
      <c r="X499" s="96"/>
      <c r="Y499" s="95"/>
      <c r="AA499" s="94"/>
    </row>
    <row r="500" spans="23:27" hidden="1">
      <c r="W500" s="96"/>
      <c r="X500" s="96"/>
      <c r="Y500" s="95"/>
      <c r="AA500" s="94"/>
    </row>
    <row r="501" spans="23:27" hidden="1">
      <c r="W501" s="96"/>
      <c r="X501" s="96"/>
      <c r="Y501" s="95"/>
      <c r="AA501" s="94"/>
    </row>
    <row r="502" spans="23:27" hidden="1">
      <c r="W502" s="96"/>
      <c r="X502" s="96"/>
      <c r="Y502" s="95"/>
      <c r="AA502" s="94"/>
    </row>
    <row r="503" spans="23:27" hidden="1">
      <c r="W503" s="96"/>
      <c r="X503" s="96"/>
      <c r="Y503" s="95"/>
      <c r="AA503" s="94"/>
    </row>
    <row r="504" spans="23:27" hidden="1">
      <c r="W504" s="96"/>
      <c r="X504" s="96"/>
      <c r="Y504" s="95"/>
      <c r="AA504" s="94"/>
    </row>
    <row r="505" spans="23:27" hidden="1">
      <c r="W505" s="96"/>
      <c r="X505" s="96"/>
      <c r="Y505" s="95"/>
      <c r="AA505" s="94"/>
    </row>
    <row r="506" spans="23:27" hidden="1">
      <c r="W506" s="96"/>
      <c r="X506" s="96"/>
      <c r="Y506" s="95"/>
      <c r="AA506" s="94"/>
    </row>
    <row r="507" spans="23:27" hidden="1">
      <c r="W507" s="96"/>
      <c r="X507" s="96"/>
      <c r="Y507" s="95"/>
      <c r="AA507" s="94"/>
    </row>
    <row r="508" spans="23:27" hidden="1">
      <c r="W508" s="96"/>
      <c r="X508" s="96"/>
      <c r="Y508" s="95"/>
      <c r="AA508" s="94"/>
    </row>
    <row r="509" spans="23:27" hidden="1">
      <c r="W509" s="96"/>
      <c r="X509" s="96"/>
      <c r="Y509" s="95"/>
      <c r="AA509" s="94"/>
    </row>
    <row r="510" spans="23:27" hidden="1">
      <c r="W510" s="96"/>
      <c r="X510" s="96"/>
      <c r="Y510" s="95"/>
      <c r="AA510" s="94"/>
    </row>
    <row r="511" spans="23:27" hidden="1">
      <c r="W511" s="96"/>
      <c r="X511" s="96"/>
      <c r="Y511" s="95"/>
      <c r="AA511" s="94"/>
    </row>
    <row r="512" spans="23:27" hidden="1">
      <c r="W512" s="96"/>
      <c r="X512" s="96"/>
      <c r="Y512" s="95"/>
      <c r="AA512" s="94"/>
    </row>
    <row r="513" spans="23:27" hidden="1">
      <c r="W513" s="96"/>
      <c r="X513" s="96"/>
      <c r="Y513" s="95"/>
      <c r="AA513" s="94"/>
    </row>
    <row r="514" spans="23:27" hidden="1">
      <c r="W514" s="96"/>
      <c r="X514" s="96"/>
      <c r="Y514" s="95"/>
      <c r="AA514" s="94"/>
    </row>
    <row r="515" spans="23:27" hidden="1">
      <c r="W515" s="96"/>
      <c r="X515" s="96"/>
      <c r="Y515" s="95"/>
      <c r="AA515" s="94"/>
    </row>
    <row r="516" spans="23:27" hidden="1">
      <c r="W516" s="96"/>
      <c r="X516" s="96"/>
      <c r="Y516" s="95"/>
      <c r="AA516" s="94"/>
    </row>
    <row r="517" spans="23:27" hidden="1">
      <c r="W517" s="96"/>
      <c r="X517" s="96"/>
      <c r="Y517" s="95"/>
      <c r="AA517" s="94"/>
    </row>
    <row r="518" spans="23:27" hidden="1">
      <c r="W518" s="96"/>
      <c r="X518" s="96"/>
      <c r="Y518" s="95"/>
      <c r="AA518" s="94"/>
    </row>
    <row r="519" spans="23:27" hidden="1">
      <c r="W519" s="96"/>
      <c r="X519" s="96"/>
      <c r="Y519" s="95"/>
      <c r="AA519" s="94"/>
    </row>
    <row r="520" spans="23:27" hidden="1">
      <c r="W520" s="96"/>
      <c r="X520" s="96"/>
      <c r="Y520" s="95"/>
      <c r="AA520" s="94"/>
    </row>
    <row r="521" spans="23:27" hidden="1">
      <c r="W521" s="96"/>
      <c r="X521" s="96"/>
      <c r="Y521" s="95"/>
      <c r="AA521" s="94"/>
    </row>
    <row r="522" spans="23:27" hidden="1">
      <c r="W522" s="96"/>
      <c r="X522" s="96"/>
      <c r="Y522" s="95"/>
      <c r="AA522" s="94"/>
    </row>
    <row r="523" spans="23:27" hidden="1">
      <c r="W523" s="96"/>
      <c r="X523" s="96"/>
      <c r="Y523" s="95"/>
      <c r="AA523" s="94"/>
    </row>
    <row r="524" spans="23:27" hidden="1">
      <c r="W524" s="96"/>
      <c r="X524" s="96"/>
      <c r="Y524" s="95"/>
      <c r="AA524" s="94"/>
    </row>
    <row r="525" spans="23:27" hidden="1">
      <c r="W525" s="96"/>
      <c r="X525" s="96"/>
      <c r="Y525" s="95"/>
      <c r="AA525" s="94"/>
    </row>
    <row r="526" spans="23:27" hidden="1">
      <c r="W526" s="96"/>
      <c r="X526" s="96"/>
      <c r="Y526" s="95"/>
      <c r="AA526" s="94"/>
    </row>
    <row r="527" spans="23:27" hidden="1">
      <c r="W527" s="96"/>
      <c r="X527" s="96"/>
      <c r="Y527" s="95"/>
      <c r="AA527" s="94"/>
    </row>
    <row r="528" spans="23:27" hidden="1">
      <c r="W528" s="96"/>
      <c r="X528" s="96"/>
      <c r="Y528" s="95"/>
      <c r="AA528" s="94"/>
    </row>
    <row r="529" spans="23:27" hidden="1">
      <c r="W529" s="96"/>
      <c r="X529" s="96"/>
      <c r="Y529" s="95"/>
      <c r="AA529" s="94"/>
    </row>
    <row r="530" spans="23:27" hidden="1">
      <c r="W530" s="96"/>
      <c r="X530" s="96"/>
      <c r="Y530" s="95"/>
      <c r="AA530" s="94"/>
    </row>
    <row r="531" spans="23:27" hidden="1">
      <c r="W531" s="96"/>
      <c r="X531" s="96"/>
      <c r="Y531" s="95"/>
      <c r="AA531" s="94"/>
    </row>
    <row r="532" spans="23:27" hidden="1">
      <c r="W532" s="96"/>
      <c r="X532" s="96"/>
      <c r="Y532" s="95"/>
      <c r="AA532" s="94"/>
    </row>
    <row r="533" spans="23:27" hidden="1">
      <c r="W533" s="96"/>
      <c r="X533" s="96"/>
      <c r="Y533" s="95"/>
      <c r="AA533" s="94"/>
    </row>
    <row r="534" spans="23:27" hidden="1">
      <c r="W534" s="96"/>
      <c r="X534" s="96"/>
      <c r="Y534" s="95"/>
      <c r="AA534" s="94"/>
    </row>
    <row r="535" spans="23:27" hidden="1">
      <c r="W535" s="96"/>
      <c r="X535" s="96"/>
      <c r="Y535" s="95"/>
      <c r="AA535" s="94"/>
    </row>
    <row r="536" spans="23:27" hidden="1">
      <c r="W536" s="96"/>
      <c r="X536" s="96"/>
      <c r="Y536" s="95"/>
      <c r="AA536" s="94"/>
    </row>
    <row r="537" spans="23:27" hidden="1">
      <c r="W537" s="96"/>
      <c r="X537" s="96"/>
      <c r="Y537" s="95"/>
      <c r="AA537" s="94"/>
    </row>
    <row r="538" spans="23:27" hidden="1">
      <c r="W538" s="96"/>
      <c r="X538" s="96"/>
      <c r="Y538" s="95"/>
      <c r="AA538" s="94"/>
    </row>
    <row r="539" spans="23:27" hidden="1">
      <c r="W539" s="96"/>
      <c r="X539" s="96"/>
      <c r="Y539" s="95"/>
      <c r="AA539" s="94"/>
    </row>
    <row r="540" spans="23:27" hidden="1">
      <c r="W540" s="96"/>
      <c r="X540" s="96"/>
      <c r="Y540" s="95"/>
      <c r="AA540" s="94"/>
    </row>
    <row r="541" spans="23:27" hidden="1">
      <c r="W541" s="96"/>
      <c r="X541" s="96"/>
      <c r="Y541" s="95"/>
      <c r="AA541" s="94"/>
    </row>
    <row r="542" spans="23:27" hidden="1">
      <c r="W542" s="96"/>
      <c r="X542" s="96"/>
      <c r="Y542" s="95"/>
      <c r="AA542" s="94"/>
    </row>
    <row r="543" spans="23:27" hidden="1">
      <c r="W543" s="96"/>
      <c r="X543" s="96"/>
      <c r="Y543" s="95"/>
      <c r="AA543" s="94"/>
    </row>
    <row r="544" spans="23:27" hidden="1">
      <c r="W544" s="96"/>
      <c r="X544" s="96"/>
      <c r="Y544" s="95"/>
      <c r="AA544" s="94"/>
    </row>
    <row r="545" spans="23:27" hidden="1">
      <c r="W545" s="96"/>
      <c r="X545" s="96"/>
      <c r="Y545" s="95"/>
      <c r="AA545" s="94"/>
    </row>
    <row r="546" spans="23:27" hidden="1">
      <c r="W546" s="96"/>
      <c r="X546" s="96"/>
      <c r="Y546" s="95"/>
      <c r="AA546" s="94"/>
    </row>
    <row r="547" spans="23:27" hidden="1">
      <c r="W547" s="96"/>
      <c r="X547" s="96"/>
      <c r="Y547" s="95"/>
      <c r="AA547" s="94"/>
    </row>
    <row r="548" spans="23:27" hidden="1">
      <c r="W548" s="96"/>
      <c r="X548" s="96"/>
      <c r="Y548" s="95"/>
      <c r="AA548" s="94"/>
    </row>
    <row r="549" spans="23:27" hidden="1">
      <c r="W549" s="96"/>
      <c r="X549" s="96"/>
      <c r="Y549" s="95"/>
      <c r="AA549" s="94"/>
    </row>
    <row r="550" spans="23:27" hidden="1">
      <c r="W550" s="96"/>
      <c r="X550" s="96"/>
      <c r="Y550" s="95"/>
      <c r="AA550" s="94"/>
    </row>
    <row r="551" spans="23:27" hidden="1">
      <c r="W551" s="96"/>
      <c r="X551" s="96"/>
      <c r="Y551" s="95"/>
      <c r="AA551" s="94"/>
    </row>
    <row r="552" spans="23:27" hidden="1">
      <c r="W552" s="96"/>
      <c r="X552" s="96"/>
      <c r="Y552" s="95"/>
      <c r="AA552" s="94"/>
    </row>
    <row r="553" spans="23:27" hidden="1">
      <c r="W553" s="96"/>
      <c r="X553" s="96"/>
      <c r="Y553" s="95"/>
      <c r="AA553" s="94"/>
    </row>
    <row r="554" spans="23:27" hidden="1">
      <c r="W554" s="96"/>
      <c r="X554" s="96"/>
      <c r="Y554" s="95"/>
      <c r="AA554" s="94"/>
    </row>
    <row r="555" spans="23:27" hidden="1">
      <c r="W555" s="96"/>
      <c r="X555" s="96"/>
      <c r="Y555" s="95"/>
      <c r="AA555" s="94"/>
    </row>
    <row r="556" spans="23:27" hidden="1">
      <c r="W556" s="96"/>
      <c r="X556" s="96"/>
      <c r="Y556" s="95"/>
      <c r="AA556" s="94"/>
    </row>
    <row r="557" spans="23:27" hidden="1">
      <c r="W557" s="96"/>
      <c r="X557" s="96"/>
      <c r="Y557" s="95"/>
      <c r="AA557" s="94"/>
    </row>
    <row r="558" spans="23:27" hidden="1">
      <c r="W558" s="96"/>
      <c r="X558" s="96"/>
      <c r="Y558" s="95"/>
      <c r="AA558" s="94"/>
    </row>
    <row r="559" spans="23:27" hidden="1">
      <c r="W559" s="96"/>
      <c r="X559" s="96"/>
      <c r="Y559" s="95"/>
      <c r="AA559" s="94"/>
    </row>
    <row r="560" spans="23:27" hidden="1">
      <c r="W560" s="96"/>
      <c r="X560" s="96"/>
      <c r="Y560" s="95"/>
      <c r="AA560" s="94"/>
    </row>
    <row r="561" spans="23:27" hidden="1">
      <c r="W561" s="96"/>
      <c r="X561" s="96"/>
      <c r="Y561" s="95"/>
      <c r="AA561" s="94"/>
    </row>
    <row r="562" spans="23:27" hidden="1">
      <c r="W562" s="96"/>
      <c r="X562" s="96"/>
      <c r="Y562" s="95"/>
      <c r="AA562" s="94"/>
    </row>
    <row r="563" spans="23:27" hidden="1">
      <c r="W563" s="96"/>
      <c r="X563" s="96"/>
      <c r="Y563" s="95"/>
      <c r="AA563" s="94"/>
    </row>
    <row r="564" spans="23:27" hidden="1">
      <c r="W564" s="96"/>
      <c r="X564" s="96"/>
      <c r="Y564" s="95"/>
      <c r="AA564" s="94"/>
    </row>
    <row r="565" spans="23:27" hidden="1">
      <c r="W565" s="96"/>
      <c r="X565" s="96"/>
      <c r="Y565" s="95"/>
      <c r="AA565" s="94"/>
    </row>
    <row r="566" spans="23:27" hidden="1">
      <c r="W566" s="96"/>
      <c r="X566" s="96"/>
      <c r="Y566" s="95"/>
      <c r="AA566" s="94"/>
    </row>
    <row r="567" spans="23:27" hidden="1">
      <c r="W567" s="96"/>
      <c r="X567" s="96"/>
      <c r="Y567" s="95"/>
      <c r="AA567" s="94"/>
    </row>
    <row r="568" spans="23:27" hidden="1">
      <c r="W568" s="96"/>
      <c r="X568" s="96"/>
      <c r="Y568" s="95"/>
      <c r="AA568" s="94"/>
    </row>
    <row r="569" spans="23:27" hidden="1">
      <c r="W569" s="96"/>
      <c r="X569" s="96"/>
      <c r="Y569" s="95"/>
      <c r="AA569" s="94"/>
    </row>
    <row r="570" spans="23:27" hidden="1">
      <c r="W570" s="96"/>
      <c r="X570" s="96"/>
      <c r="Y570" s="95"/>
      <c r="AA570" s="94"/>
    </row>
    <row r="571" spans="23:27" hidden="1">
      <c r="W571" s="96"/>
      <c r="X571" s="96"/>
      <c r="Y571" s="95"/>
      <c r="AA571" s="94"/>
    </row>
    <row r="572" spans="23:27" hidden="1">
      <c r="W572" s="96"/>
      <c r="X572" s="96"/>
      <c r="Y572" s="95"/>
      <c r="AA572" s="94"/>
    </row>
    <row r="573" spans="23:27" hidden="1">
      <c r="W573" s="96"/>
      <c r="X573" s="96"/>
      <c r="Y573" s="95"/>
      <c r="AA573" s="94"/>
    </row>
    <row r="574" spans="23:27" hidden="1">
      <c r="W574" s="96"/>
      <c r="X574" s="96"/>
      <c r="Y574" s="95"/>
      <c r="AA574" s="94"/>
    </row>
    <row r="575" spans="23:27" hidden="1">
      <c r="W575" s="96"/>
      <c r="X575" s="96"/>
      <c r="Y575" s="95"/>
      <c r="AA575" s="94"/>
    </row>
    <row r="576" spans="23:27" hidden="1">
      <c r="W576" s="96"/>
      <c r="X576" s="96"/>
      <c r="Y576" s="95"/>
      <c r="AA576" s="94"/>
    </row>
    <row r="577" spans="23:27" hidden="1">
      <c r="W577" s="96"/>
      <c r="X577" s="96"/>
      <c r="Y577" s="95"/>
      <c r="AA577" s="94"/>
    </row>
    <row r="578" spans="23:27" hidden="1">
      <c r="W578" s="96"/>
      <c r="X578" s="96"/>
      <c r="Y578" s="95"/>
      <c r="AA578" s="94"/>
    </row>
    <row r="579" spans="23:27" hidden="1">
      <c r="W579" s="96"/>
      <c r="X579" s="96"/>
      <c r="Y579" s="95"/>
      <c r="AA579" s="94"/>
    </row>
    <row r="580" spans="23:27" hidden="1">
      <c r="W580" s="96"/>
      <c r="X580" s="96"/>
      <c r="Y580" s="95"/>
      <c r="AA580" s="94"/>
    </row>
    <row r="581" spans="23:27" hidden="1">
      <c r="W581" s="96"/>
      <c r="X581" s="96"/>
      <c r="Y581" s="95"/>
      <c r="AA581" s="94"/>
    </row>
    <row r="582" spans="23:27" hidden="1">
      <c r="W582" s="96"/>
      <c r="X582" s="96"/>
      <c r="Y582" s="95"/>
      <c r="AA582" s="94"/>
    </row>
    <row r="583" spans="23:27" hidden="1">
      <c r="W583" s="96"/>
      <c r="X583" s="96"/>
      <c r="Y583" s="95"/>
      <c r="AA583" s="94"/>
    </row>
    <row r="584" spans="23:27" hidden="1">
      <c r="W584" s="96"/>
      <c r="X584" s="96"/>
      <c r="Y584" s="95"/>
      <c r="AA584" s="94"/>
    </row>
    <row r="585" spans="23:27" hidden="1">
      <c r="W585" s="96"/>
      <c r="X585" s="96"/>
      <c r="Y585" s="95"/>
      <c r="AA585" s="94"/>
    </row>
    <row r="586" spans="23:27" hidden="1">
      <c r="W586" s="96"/>
      <c r="X586" s="96"/>
      <c r="Y586" s="95"/>
      <c r="AA586" s="94"/>
    </row>
    <row r="587" spans="23:27" hidden="1">
      <c r="W587" s="96"/>
      <c r="X587" s="96"/>
      <c r="Y587" s="95"/>
      <c r="AA587" s="94"/>
    </row>
    <row r="588" spans="23:27" hidden="1">
      <c r="W588" s="96"/>
      <c r="X588" s="96"/>
      <c r="Y588" s="95"/>
      <c r="AA588" s="94"/>
    </row>
    <row r="589" spans="23:27" hidden="1">
      <c r="W589" s="96"/>
      <c r="X589" s="96"/>
      <c r="Y589" s="95"/>
      <c r="AA589" s="94"/>
    </row>
    <row r="590" spans="23:27" hidden="1">
      <c r="W590" s="96"/>
      <c r="X590" s="96"/>
      <c r="Y590" s="95"/>
      <c r="AA590" s="94"/>
    </row>
    <row r="591" spans="23:27" hidden="1">
      <c r="W591" s="96"/>
      <c r="X591" s="96"/>
      <c r="Y591" s="95"/>
      <c r="AA591" s="94"/>
    </row>
    <row r="592" spans="23:27" hidden="1">
      <c r="W592" s="96"/>
      <c r="X592" s="96"/>
      <c r="Y592" s="95"/>
      <c r="AA592" s="94"/>
    </row>
    <row r="593" spans="22:40" hidden="1">
      <c r="W593" s="96"/>
      <c r="X593" s="96"/>
      <c r="Y593" s="95"/>
      <c r="AA593" s="94"/>
    </row>
    <row r="594" spans="22:40" hidden="1">
      <c r="W594" s="96"/>
      <c r="X594" s="96"/>
      <c r="Y594" s="95"/>
      <c r="AA594" s="94"/>
    </row>
    <row r="595" spans="22:40" hidden="1"/>
    <row r="596" spans="22:40" hidden="1"/>
    <row r="597" spans="22:40" hidden="1">
      <c r="W597" s="35"/>
    </row>
    <row r="598" spans="22:40" hidden="1">
      <c r="W598" s="35"/>
    </row>
    <row r="599" spans="22:40" hidden="1">
      <c r="W599" s="92"/>
    </row>
    <row r="600" spans="22:40" hidden="1">
      <c r="W600" s="92"/>
    </row>
    <row r="601" spans="22:40" hidden="1"/>
    <row r="602" spans="22:40" hidden="1">
      <c r="AE602" s="36"/>
      <c r="AF602" s="36"/>
      <c r="AG602" s="36"/>
      <c r="AH602" s="36"/>
      <c r="AI602" s="36"/>
      <c r="AJ602" s="36"/>
      <c r="AK602" s="36"/>
      <c r="AL602" s="36"/>
      <c r="AM602" s="36"/>
      <c r="AN602" s="36"/>
    </row>
    <row r="603" spans="22:40" hidden="1">
      <c r="V603" s="36"/>
      <c r="W603" s="36"/>
      <c r="X603" s="36"/>
      <c r="Y603" s="36"/>
      <c r="Z603" s="36"/>
      <c r="AA603" s="36"/>
      <c r="AD603" s="89"/>
      <c r="AE603" s="93"/>
      <c r="AF603" s="93"/>
      <c r="AG603" s="93"/>
      <c r="AH603" s="93"/>
      <c r="AI603" s="93"/>
      <c r="AJ603" s="93"/>
      <c r="AK603" s="93"/>
      <c r="AL603" s="93"/>
      <c r="AM603" s="93"/>
      <c r="AN603" s="93"/>
    </row>
    <row r="604" spans="22:40" hidden="1"/>
    <row r="605" spans="22:40" hidden="1">
      <c r="W605" s="94"/>
      <c r="X605" s="94"/>
      <c r="Y605" s="95"/>
      <c r="AA605" s="94"/>
      <c r="AD605" s="94"/>
    </row>
    <row r="606" spans="22:40" hidden="1">
      <c r="W606" s="94"/>
      <c r="X606" s="94"/>
      <c r="Y606" s="95"/>
      <c r="AA606" s="94"/>
      <c r="AD606" s="94"/>
    </row>
    <row r="607" spans="22:40" hidden="1">
      <c r="W607" s="94"/>
      <c r="X607" s="94"/>
      <c r="Y607" s="95"/>
      <c r="AA607" s="94"/>
      <c r="AE607" s="94"/>
      <c r="AF607" s="94"/>
      <c r="AG607" s="94"/>
      <c r="AH607" s="94"/>
      <c r="AI607" s="94"/>
      <c r="AJ607" s="94"/>
      <c r="AK607" s="94"/>
      <c r="AL607" s="94"/>
      <c r="AM607" s="94"/>
      <c r="AN607" s="94"/>
    </row>
    <row r="608" spans="22:40" hidden="1">
      <c r="W608" s="94"/>
      <c r="X608" s="94"/>
      <c r="Y608" s="95"/>
      <c r="AA608" s="94"/>
      <c r="AE608" s="94"/>
      <c r="AF608" s="94"/>
      <c r="AG608" s="94"/>
      <c r="AH608" s="94"/>
      <c r="AI608" s="94"/>
      <c r="AJ608" s="94"/>
      <c r="AK608" s="94"/>
      <c r="AL608" s="94"/>
      <c r="AM608" s="94"/>
      <c r="AN608" s="94"/>
    </row>
    <row r="609" spans="22:40" hidden="1">
      <c r="W609" s="94"/>
      <c r="X609" s="94"/>
      <c r="Y609" s="95"/>
      <c r="AA609" s="94"/>
      <c r="AE609" s="94"/>
      <c r="AF609" s="94"/>
      <c r="AG609" s="94"/>
      <c r="AH609" s="94"/>
      <c r="AI609" s="94"/>
      <c r="AJ609" s="94"/>
      <c r="AK609" s="94"/>
      <c r="AL609" s="94"/>
      <c r="AM609" s="94"/>
      <c r="AN609" s="94"/>
    </row>
    <row r="610" spans="22:40">
      <c r="W610" s="94"/>
      <c r="X610" s="94"/>
      <c r="Y610" s="95"/>
      <c r="AA610" s="94"/>
    </row>
    <row r="611" spans="22:40">
      <c r="W611" s="94"/>
      <c r="X611" s="94"/>
      <c r="Y611" s="95"/>
      <c r="AA611" s="94"/>
      <c r="AD611" s="94"/>
      <c r="AE611" s="94"/>
      <c r="AF611" s="94"/>
      <c r="AG611" s="94"/>
      <c r="AH611" s="94"/>
      <c r="AI611" s="94"/>
      <c r="AJ611" s="94"/>
      <c r="AK611" s="94"/>
      <c r="AL611" s="94"/>
      <c r="AM611" s="94"/>
      <c r="AN611" s="94"/>
    </row>
    <row r="612" spans="22:40">
      <c r="W612" s="94"/>
      <c r="X612" s="94"/>
      <c r="Y612" s="95"/>
      <c r="AA612" s="94"/>
    </row>
    <row r="613" spans="22:40">
      <c r="W613" s="94"/>
      <c r="X613" s="94"/>
      <c r="Y613" s="95"/>
      <c r="AA613" s="94"/>
    </row>
    <row r="614" spans="22:40">
      <c r="W614" s="94"/>
      <c r="X614" s="94"/>
      <c r="Y614" s="95"/>
      <c r="AA614" s="94"/>
    </row>
    <row r="615" spans="22:40">
      <c r="V615" s="91"/>
    </row>
    <row r="617" spans="22:40">
      <c r="V617" s="36"/>
      <c r="W617" s="36"/>
      <c r="X617" s="36"/>
      <c r="Y617" s="36"/>
      <c r="Z617" s="36"/>
      <c r="AA617" s="36"/>
    </row>
    <row r="619" spans="22:40">
      <c r="W619" s="96"/>
      <c r="X619" s="96"/>
      <c r="Y619" s="95"/>
      <c r="AA619" s="94"/>
    </row>
    <row r="620" spans="22:40">
      <c r="W620" s="96"/>
      <c r="X620" s="96"/>
      <c r="Y620" s="95"/>
      <c r="AA620" s="94"/>
    </row>
    <row r="621" spans="22:40">
      <c r="W621" s="96"/>
      <c r="X621" s="96"/>
      <c r="Y621" s="95"/>
      <c r="AA621" s="94"/>
    </row>
    <row r="622" spans="22:40">
      <c r="W622" s="96"/>
      <c r="X622" s="96"/>
      <c r="Y622" s="95"/>
      <c r="AA622" s="94"/>
    </row>
    <row r="623" spans="22:40">
      <c r="W623" s="96"/>
      <c r="X623" s="96"/>
      <c r="Y623" s="95"/>
      <c r="AA623" s="94"/>
    </row>
    <row r="624" spans="22:40">
      <c r="W624" s="96"/>
      <c r="X624" s="96"/>
      <c r="Y624" s="95"/>
      <c r="AA624" s="94"/>
    </row>
    <row r="625" spans="23:27">
      <c r="W625" s="96"/>
      <c r="X625" s="96"/>
      <c r="Y625" s="95"/>
      <c r="AA625" s="94"/>
    </row>
    <row r="626" spans="23:27">
      <c r="W626" s="96"/>
      <c r="X626" s="96"/>
      <c r="Y626" s="95"/>
      <c r="AA626" s="94"/>
    </row>
    <row r="627" spans="23:27">
      <c r="W627" s="96"/>
      <c r="X627" s="96"/>
      <c r="Y627" s="95"/>
      <c r="AA627" s="94"/>
    </row>
    <row r="628" spans="23:27">
      <c r="W628" s="96"/>
      <c r="X628" s="96"/>
      <c r="Y628" s="95"/>
      <c r="AA628" s="94"/>
    </row>
    <row r="629" spans="23:27">
      <c r="W629" s="96"/>
      <c r="X629" s="96"/>
      <c r="Y629" s="95"/>
      <c r="AA629" s="94"/>
    </row>
    <row r="630" spans="23:27">
      <c r="W630" s="96"/>
      <c r="X630" s="96"/>
      <c r="Y630" s="95"/>
      <c r="AA630" s="94"/>
    </row>
    <row r="631" spans="23:27">
      <c r="W631" s="96"/>
      <c r="X631" s="96"/>
      <c r="Y631" s="95"/>
      <c r="AA631" s="94"/>
    </row>
    <row r="632" spans="23:27" hidden="1">
      <c r="W632" s="96"/>
      <c r="X632" s="96"/>
      <c r="Y632" s="95"/>
      <c r="AA632" s="94"/>
    </row>
    <row r="633" spans="23:27" hidden="1">
      <c r="W633" s="96"/>
      <c r="X633" s="96"/>
      <c r="Y633" s="95"/>
      <c r="AA633" s="94"/>
    </row>
    <row r="634" spans="23:27" hidden="1">
      <c r="W634" s="96"/>
      <c r="X634" s="96"/>
      <c r="Y634" s="95"/>
      <c r="AA634" s="94"/>
    </row>
    <row r="635" spans="23:27" hidden="1">
      <c r="W635" s="96"/>
      <c r="X635" s="96"/>
      <c r="Y635" s="95"/>
      <c r="AA635" s="94"/>
    </row>
    <row r="636" spans="23:27" hidden="1">
      <c r="W636" s="96"/>
      <c r="X636" s="96"/>
      <c r="Y636" s="95"/>
      <c r="AA636" s="94"/>
    </row>
    <row r="637" spans="23:27" hidden="1">
      <c r="W637" s="96"/>
      <c r="X637" s="96"/>
      <c r="Y637" s="95"/>
      <c r="AA637" s="94"/>
    </row>
    <row r="638" spans="23:27" hidden="1">
      <c r="W638" s="96"/>
      <c r="X638" s="96"/>
      <c r="Y638" s="95"/>
      <c r="AA638" s="94"/>
    </row>
    <row r="639" spans="23:27" hidden="1">
      <c r="W639" s="96"/>
      <c r="X639" s="96"/>
      <c r="Y639" s="95"/>
      <c r="AA639" s="94"/>
    </row>
    <row r="640" spans="23:27" hidden="1">
      <c r="W640" s="96"/>
      <c r="X640" s="96"/>
      <c r="Y640" s="95"/>
      <c r="AA640" s="94"/>
    </row>
    <row r="641" spans="23:27" hidden="1">
      <c r="W641" s="96"/>
      <c r="X641" s="96"/>
      <c r="Y641" s="95"/>
      <c r="AA641" s="94"/>
    </row>
    <row r="642" spans="23:27" hidden="1">
      <c r="W642" s="96"/>
      <c r="X642" s="96"/>
      <c r="Y642" s="95"/>
      <c r="AA642" s="94"/>
    </row>
    <row r="643" spans="23:27" hidden="1">
      <c r="W643" s="96"/>
      <c r="X643" s="96"/>
      <c r="Y643" s="95"/>
      <c r="AA643" s="94"/>
    </row>
    <row r="644" spans="23:27" hidden="1">
      <c r="W644" s="96"/>
      <c r="X644" s="96"/>
      <c r="Y644" s="95"/>
      <c r="AA644" s="94"/>
    </row>
    <row r="645" spans="23:27" hidden="1">
      <c r="W645" s="96"/>
      <c r="X645" s="96"/>
      <c r="Y645" s="95"/>
      <c r="AA645" s="94"/>
    </row>
    <row r="646" spans="23:27" hidden="1">
      <c r="W646" s="96"/>
      <c r="X646" s="96"/>
      <c r="Y646" s="95"/>
      <c r="AA646" s="94"/>
    </row>
    <row r="647" spans="23:27" hidden="1">
      <c r="W647" s="96"/>
      <c r="X647" s="96"/>
      <c r="Y647" s="95"/>
      <c r="AA647" s="94"/>
    </row>
    <row r="648" spans="23:27" hidden="1">
      <c r="W648" s="96"/>
      <c r="X648" s="96"/>
      <c r="Y648" s="95"/>
      <c r="AA648" s="94"/>
    </row>
    <row r="649" spans="23:27" hidden="1">
      <c r="W649" s="96"/>
      <c r="X649" s="96"/>
      <c r="Y649" s="95"/>
      <c r="AA649" s="94"/>
    </row>
    <row r="650" spans="23:27" hidden="1">
      <c r="W650" s="96"/>
      <c r="X650" s="96"/>
      <c r="Y650" s="95"/>
      <c r="AA650" s="94"/>
    </row>
    <row r="651" spans="23:27" hidden="1">
      <c r="W651" s="96"/>
      <c r="X651" s="96"/>
      <c r="Y651" s="95"/>
      <c r="AA651" s="94"/>
    </row>
    <row r="652" spans="23:27" hidden="1">
      <c r="W652" s="96"/>
      <c r="X652" s="96"/>
      <c r="Y652" s="95"/>
      <c r="AA652" s="94"/>
    </row>
    <row r="653" spans="23:27" hidden="1">
      <c r="W653" s="96"/>
      <c r="X653" s="96"/>
      <c r="Y653" s="95"/>
      <c r="AA653" s="94"/>
    </row>
    <row r="654" spans="23:27" hidden="1">
      <c r="W654" s="96"/>
      <c r="X654" s="96"/>
      <c r="Y654" s="95"/>
      <c r="AA654" s="94"/>
    </row>
    <row r="655" spans="23:27" hidden="1">
      <c r="W655" s="96"/>
      <c r="X655" s="96"/>
      <c r="Y655" s="95"/>
      <c r="AA655" s="94"/>
    </row>
    <row r="656" spans="23:27" hidden="1">
      <c r="W656" s="96"/>
      <c r="X656" s="96"/>
      <c r="Y656" s="95"/>
      <c r="AA656" s="94"/>
    </row>
    <row r="657" spans="23:27" hidden="1">
      <c r="W657" s="96"/>
      <c r="X657" s="96"/>
      <c r="Y657" s="95"/>
      <c r="AA657" s="94"/>
    </row>
    <row r="658" spans="23:27" hidden="1">
      <c r="W658" s="96"/>
      <c r="X658" s="96"/>
      <c r="Y658" s="95"/>
      <c r="AA658" s="94"/>
    </row>
    <row r="659" spans="23:27" hidden="1">
      <c r="W659" s="96"/>
      <c r="X659" s="96"/>
      <c r="Y659" s="95"/>
      <c r="AA659" s="94"/>
    </row>
    <row r="660" spans="23:27" hidden="1">
      <c r="W660" s="96"/>
      <c r="X660" s="96"/>
      <c r="Y660" s="95"/>
      <c r="AA660" s="94"/>
    </row>
    <row r="661" spans="23:27" hidden="1">
      <c r="W661" s="96"/>
      <c r="X661" s="96"/>
      <c r="Y661" s="95"/>
      <c r="AA661" s="94"/>
    </row>
    <row r="662" spans="23:27" hidden="1">
      <c r="W662" s="96"/>
      <c r="X662" s="96"/>
      <c r="Y662" s="95"/>
      <c r="AA662" s="94"/>
    </row>
    <row r="663" spans="23:27" hidden="1">
      <c r="W663" s="96"/>
      <c r="X663" s="96"/>
      <c r="Y663" s="95"/>
      <c r="AA663" s="94"/>
    </row>
    <row r="664" spans="23:27" hidden="1">
      <c r="W664" s="96"/>
      <c r="X664" s="96"/>
      <c r="Y664" s="95"/>
      <c r="AA664" s="94"/>
    </row>
    <row r="665" spans="23:27" hidden="1">
      <c r="W665" s="96"/>
      <c r="X665" s="96"/>
      <c r="Y665" s="95"/>
      <c r="AA665" s="94"/>
    </row>
    <row r="666" spans="23:27" hidden="1">
      <c r="W666" s="96"/>
      <c r="X666" s="96"/>
      <c r="Y666" s="95"/>
      <c r="AA666" s="94"/>
    </row>
    <row r="667" spans="23:27" hidden="1">
      <c r="W667" s="96"/>
      <c r="X667" s="96"/>
      <c r="Y667" s="95"/>
      <c r="AA667" s="94"/>
    </row>
    <row r="668" spans="23:27" hidden="1">
      <c r="W668" s="96"/>
      <c r="X668" s="96"/>
      <c r="Y668" s="95"/>
      <c r="AA668" s="94"/>
    </row>
    <row r="669" spans="23:27" hidden="1">
      <c r="W669" s="96"/>
      <c r="X669" s="96"/>
      <c r="Y669" s="95"/>
      <c r="AA669" s="94"/>
    </row>
    <row r="670" spans="23:27" hidden="1">
      <c r="W670" s="96"/>
      <c r="X670" s="96"/>
      <c r="Y670" s="95"/>
      <c r="AA670" s="94"/>
    </row>
    <row r="671" spans="23:27" hidden="1">
      <c r="W671" s="96"/>
      <c r="X671" s="96"/>
      <c r="Y671" s="95"/>
      <c r="AA671" s="94"/>
    </row>
    <row r="672" spans="23:27" hidden="1">
      <c r="W672" s="96"/>
      <c r="X672" s="96"/>
      <c r="Y672" s="95"/>
      <c r="AA672" s="94"/>
    </row>
    <row r="673" spans="23:27" hidden="1">
      <c r="W673" s="96"/>
      <c r="X673" s="96"/>
      <c r="Y673" s="95"/>
      <c r="AA673" s="94"/>
    </row>
    <row r="674" spans="23:27" hidden="1">
      <c r="W674" s="96"/>
      <c r="X674" s="96"/>
      <c r="Y674" s="95"/>
      <c r="AA674" s="94"/>
    </row>
    <row r="675" spans="23:27" hidden="1">
      <c r="W675" s="96"/>
      <c r="X675" s="96"/>
      <c r="Y675" s="95"/>
      <c r="AA675" s="94"/>
    </row>
    <row r="676" spans="23:27" hidden="1">
      <c r="W676" s="96"/>
      <c r="X676" s="96"/>
      <c r="Y676" s="95"/>
      <c r="AA676" s="94"/>
    </row>
    <row r="677" spans="23:27" hidden="1">
      <c r="W677" s="96"/>
      <c r="X677" s="96"/>
      <c r="Y677" s="95"/>
      <c r="AA677" s="94"/>
    </row>
    <row r="678" spans="23:27" hidden="1">
      <c r="W678" s="96"/>
      <c r="X678" s="96"/>
      <c r="Y678" s="95"/>
      <c r="AA678" s="94"/>
    </row>
    <row r="679" spans="23:27" hidden="1">
      <c r="W679" s="96"/>
      <c r="X679" s="96"/>
      <c r="Y679" s="95"/>
      <c r="AA679" s="94"/>
    </row>
    <row r="680" spans="23:27" hidden="1">
      <c r="W680" s="96"/>
      <c r="X680" s="96"/>
      <c r="Y680" s="95"/>
      <c r="AA680" s="94"/>
    </row>
    <row r="681" spans="23:27" hidden="1">
      <c r="W681" s="96"/>
      <c r="X681" s="96"/>
      <c r="Y681" s="95"/>
      <c r="AA681" s="94"/>
    </row>
    <row r="682" spans="23:27" hidden="1">
      <c r="W682" s="96"/>
      <c r="X682" s="96"/>
      <c r="Y682" s="95"/>
      <c r="AA682" s="94"/>
    </row>
    <row r="683" spans="23:27" hidden="1">
      <c r="W683" s="96"/>
      <c r="X683" s="96"/>
      <c r="Y683" s="95"/>
      <c r="AA683" s="94"/>
    </row>
    <row r="684" spans="23:27" hidden="1">
      <c r="W684" s="96"/>
      <c r="X684" s="96"/>
      <c r="Y684" s="95"/>
      <c r="AA684" s="94"/>
    </row>
    <row r="685" spans="23:27" hidden="1">
      <c r="W685" s="96"/>
      <c r="X685" s="96"/>
      <c r="Y685" s="95"/>
      <c r="AA685" s="94"/>
    </row>
    <row r="686" spans="23:27" hidden="1">
      <c r="W686" s="96"/>
      <c r="X686" s="96"/>
      <c r="Y686" s="95"/>
      <c r="AA686" s="94"/>
    </row>
    <row r="687" spans="23:27" hidden="1">
      <c r="W687" s="96"/>
      <c r="X687" s="96"/>
      <c r="Y687" s="95"/>
      <c r="AA687" s="94"/>
    </row>
    <row r="688" spans="23:27" hidden="1">
      <c r="W688" s="96"/>
      <c r="X688" s="96"/>
      <c r="Y688" s="95"/>
      <c r="AA688" s="94"/>
    </row>
    <row r="689" spans="23:27" hidden="1">
      <c r="W689" s="96"/>
      <c r="X689" s="96"/>
      <c r="Y689" s="95"/>
      <c r="AA689" s="94"/>
    </row>
    <row r="690" spans="23:27" hidden="1">
      <c r="W690" s="96"/>
      <c r="X690" s="96"/>
      <c r="Y690" s="95"/>
      <c r="AA690" s="94"/>
    </row>
    <row r="691" spans="23:27" hidden="1">
      <c r="W691" s="96"/>
      <c r="X691" s="96"/>
      <c r="Y691" s="95"/>
      <c r="AA691" s="94"/>
    </row>
    <row r="692" spans="23:27" hidden="1">
      <c r="W692" s="96"/>
      <c r="X692" s="96"/>
      <c r="Y692" s="95"/>
      <c r="AA692" s="94"/>
    </row>
    <row r="693" spans="23:27" hidden="1">
      <c r="W693" s="96"/>
      <c r="X693" s="96"/>
      <c r="Y693" s="95"/>
      <c r="AA693" s="94"/>
    </row>
    <row r="694" spans="23:27" hidden="1">
      <c r="W694" s="96"/>
      <c r="X694" s="96"/>
      <c r="Y694" s="95"/>
      <c r="AA694" s="94"/>
    </row>
    <row r="695" spans="23:27" hidden="1">
      <c r="W695" s="96"/>
      <c r="X695" s="96"/>
      <c r="Y695" s="95"/>
      <c r="AA695" s="94"/>
    </row>
    <row r="696" spans="23:27" hidden="1">
      <c r="W696" s="96"/>
      <c r="X696" s="96"/>
      <c r="Y696" s="95"/>
      <c r="AA696" s="94"/>
    </row>
    <row r="697" spans="23:27" hidden="1">
      <c r="W697" s="96"/>
      <c r="X697" s="96"/>
      <c r="Y697" s="95"/>
      <c r="AA697" s="94"/>
    </row>
    <row r="698" spans="23:27" hidden="1">
      <c r="W698" s="96"/>
      <c r="X698" s="96"/>
      <c r="Y698" s="95"/>
      <c r="AA698" s="94"/>
    </row>
    <row r="699" spans="23:27" hidden="1">
      <c r="W699" s="96"/>
      <c r="X699" s="96"/>
      <c r="Y699" s="95"/>
      <c r="AA699" s="94"/>
    </row>
    <row r="700" spans="23:27" hidden="1">
      <c r="W700" s="96"/>
      <c r="X700" s="96"/>
      <c r="Y700" s="95"/>
      <c r="AA700" s="94"/>
    </row>
    <row r="701" spans="23:27" hidden="1">
      <c r="W701" s="96"/>
      <c r="X701" s="96"/>
      <c r="Y701" s="95"/>
      <c r="AA701" s="94"/>
    </row>
    <row r="702" spans="23:27" hidden="1">
      <c r="W702" s="96"/>
      <c r="X702" s="96"/>
      <c r="Y702" s="95"/>
      <c r="AA702" s="94"/>
    </row>
    <row r="703" spans="23:27" hidden="1">
      <c r="W703" s="96"/>
      <c r="X703" s="96"/>
      <c r="Y703" s="95"/>
      <c r="AA703" s="94"/>
    </row>
    <row r="704" spans="23:27" hidden="1">
      <c r="W704" s="96"/>
      <c r="X704" s="96"/>
      <c r="Y704" s="95"/>
      <c r="AA704" s="94"/>
    </row>
    <row r="705" spans="23:27" hidden="1">
      <c r="W705" s="96"/>
      <c r="X705" s="96"/>
      <c r="Y705" s="95"/>
      <c r="AA705" s="94"/>
    </row>
    <row r="706" spans="23:27" hidden="1">
      <c r="W706" s="96"/>
      <c r="X706" s="96"/>
      <c r="Y706" s="95"/>
      <c r="AA706" s="94"/>
    </row>
    <row r="707" spans="23:27" hidden="1">
      <c r="W707" s="96"/>
      <c r="X707" s="96"/>
      <c r="Y707" s="95"/>
      <c r="AA707" s="94"/>
    </row>
    <row r="708" spans="23:27" hidden="1">
      <c r="W708" s="96"/>
      <c r="X708" s="96"/>
      <c r="Y708" s="95"/>
      <c r="AA708" s="94"/>
    </row>
    <row r="709" spans="23:27" hidden="1">
      <c r="W709" s="96"/>
      <c r="X709" s="96"/>
      <c r="Y709" s="95"/>
      <c r="AA709" s="94"/>
    </row>
    <row r="710" spans="23:27" hidden="1">
      <c r="W710" s="96"/>
      <c r="X710" s="96"/>
      <c r="Y710" s="95"/>
      <c r="AA710" s="94"/>
    </row>
    <row r="711" spans="23:27" hidden="1">
      <c r="W711" s="96"/>
      <c r="X711" s="96"/>
      <c r="Y711" s="95"/>
      <c r="AA711" s="94"/>
    </row>
    <row r="712" spans="23:27" hidden="1">
      <c r="W712" s="96"/>
      <c r="X712" s="96"/>
      <c r="Y712" s="95"/>
      <c r="AA712" s="94"/>
    </row>
    <row r="713" spans="23:27" hidden="1">
      <c r="W713" s="96"/>
      <c r="X713" s="96"/>
      <c r="Y713" s="95"/>
      <c r="AA713" s="94"/>
    </row>
    <row r="714" spans="23:27" hidden="1">
      <c r="W714" s="96"/>
      <c r="X714" s="96"/>
      <c r="Y714" s="95"/>
      <c r="AA714" s="94"/>
    </row>
    <row r="715" spans="23:27" hidden="1">
      <c r="W715" s="96"/>
      <c r="X715" s="96"/>
      <c r="Y715" s="95"/>
      <c r="AA715" s="94"/>
    </row>
    <row r="716" spans="23:27" hidden="1">
      <c r="W716" s="96"/>
      <c r="X716" s="96"/>
      <c r="Y716" s="95"/>
      <c r="AA716" s="94"/>
    </row>
    <row r="717" spans="23:27" hidden="1">
      <c r="W717" s="96"/>
      <c r="X717" s="96"/>
      <c r="Y717" s="95"/>
      <c r="AA717" s="94"/>
    </row>
    <row r="718" spans="23:27" hidden="1">
      <c r="W718" s="96"/>
      <c r="X718" s="96"/>
      <c r="Y718" s="95"/>
      <c r="AA718" s="94"/>
    </row>
    <row r="719" spans="23:27" hidden="1">
      <c r="W719" s="96"/>
      <c r="X719" s="96"/>
      <c r="Y719" s="95"/>
      <c r="AA719" s="94"/>
    </row>
    <row r="720" spans="23:27" hidden="1">
      <c r="W720" s="96"/>
      <c r="X720" s="96"/>
      <c r="Y720" s="95"/>
      <c r="AA720" s="94"/>
    </row>
    <row r="721" spans="23:27" hidden="1">
      <c r="W721" s="96"/>
      <c r="X721" s="96"/>
      <c r="Y721" s="95"/>
      <c r="AA721" s="94"/>
    </row>
    <row r="722" spans="23:27" hidden="1">
      <c r="W722" s="96"/>
      <c r="X722" s="96"/>
      <c r="Y722" s="95"/>
      <c r="AA722" s="94"/>
    </row>
    <row r="723" spans="23:27" hidden="1">
      <c r="W723" s="96"/>
      <c r="X723" s="96"/>
      <c r="Y723" s="95"/>
      <c r="AA723" s="94"/>
    </row>
    <row r="724" spans="23:27" hidden="1">
      <c r="W724" s="96"/>
      <c r="X724" s="96"/>
      <c r="Y724" s="95"/>
      <c r="AA724" s="94"/>
    </row>
    <row r="725" spans="23:27" hidden="1">
      <c r="W725" s="96"/>
      <c r="X725" s="96"/>
      <c r="Y725" s="95"/>
      <c r="AA725" s="94"/>
    </row>
    <row r="726" spans="23:27" hidden="1">
      <c r="W726" s="96"/>
      <c r="X726" s="96"/>
      <c r="Y726" s="95"/>
      <c r="AA726" s="94"/>
    </row>
    <row r="727" spans="23:27" hidden="1">
      <c r="W727" s="96"/>
      <c r="X727" s="96"/>
      <c r="Y727" s="95"/>
      <c r="AA727" s="94"/>
    </row>
    <row r="728" spans="23:27" hidden="1">
      <c r="W728" s="96"/>
      <c r="X728" s="96"/>
      <c r="Y728" s="95"/>
      <c r="AA728" s="94"/>
    </row>
    <row r="729" spans="23:27" hidden="1">
      <c r="W729" s="96"/>
      <c r="X729" s="96"/>
      <c r="Y729" s="95"/>
      <c r="AA729" s="94"/>
    </row>
    <row r="730" spans="23:27" hidden="1">
      <c r="W730" s="96"/>
      <c r="X730" s="96"/>
      <c r="Y730" s="95"/>
      <c r="AA730" s="94"/>
    </row>
    <row r="731" spans="23:27" hidden="1">
      <c r="W731" s="96"/>
      <c r="X731" s="96"/>
      <c r="Y731" s="95"/>
      <c r="AA731" s="94"/>
    </row>
    <row r="732" spans="23:27" hidden="1">
      <c r="W732" s="96"/>
      <c r="X732" s="96"/>
      <c r="Y732" s="95"/>
      <c r="AA732" s="94"/>
    </row>
    <row r="733" spans="23:27" hidden="1">
      <c r="W733" s="96"/>
      <c r="X733" s="96"/>
      <c r="Y733" s="95"/>
      <c r="AA733" s="94"/>
    </row>
    <row r="734" spans="23:27" hidden="1">
      <c r="W734" s="96"/>
      <c r="X734" s="96"/>
      <c r="Y734" s="95"/>
      <c r="AA734" s="94"/>
    </row>
    <row r="735" spans="23:27" hidden="1">
      <c r="W735" s="96"/>
      <c r="X735" s="96"/>
      <c r="Y735" s="95"/>
      <c r="AA735" s="94"/>
    </row>
    <row r="736" spans="23:27" hidden="1">
      <c r="W736" s="96"/>
      <c r="X736" s="96"/>
      <c r="Y736" s="95"/>
      <c r="AA736" s="94"/>
    </row>
    <row r="737" spans="22:40" hidden="1">
      <c r="W737" s="96"/>
      <c r="X737" s="96"/>
      <c r="Y737" s="95"/>
      <c r="AA737" s="94"/>
    </row>
    <row r="738" spans="22:40" hidden="1">
      <c r="W738" s="96"/>
      <c r="X738" s="96"/>
      <c r="Y738" s="95"/>
      <c r="AA738" s="94"/>
    </row>
    <row r="739" spans="22:40" hidden="1"/>
    <row r="740" spans="22:40" hidden="1"/>
    <row r="741" spans="22:40" hidden="1">
      <c r="W741" s="35"/>
    </row>
    <row r="742" spans="22:40" hidden="1">
      <c r="W742" s="35"/>
    </row>
    <row r="743" spans="22:40" hidden="1">
      <c r="W743" s="92"/>
    </row>
    <row r="744" spans="22:40" hidden="1">
      <c r="W744" s="92"/>
    </row>
    <row r="745" spans="22:40" hidden="1"/>
    <row r="746" spans="22:40" hidden="1">
      <c r="AE746" s="36"/>
      <c r="AF746" s="36"/>
      <c r="AG746" s="36"/>
      <c r="AH746" s="36"/>
      <c r="AI746" s="36"/>
      <c r="AJ746" s="36"/>
      <c r="AK746" s="36"/>
      <c r="AL746" s="36"/>
      <c r="AM746" s="36"/>
      <c r="AN746" s="36"/>
    </row>
    <row r="747" spans="22:40" hidden="1">
      <c r="V747" s="36"/>
      <c r="W747" s="36"/>
      <c r="X747" s="36"/>
      <c r="Y747" s="36"/>
      <c r="Z747" s="36"/>
      <c r="AA747" s="36"/>
      <c r="AD747" s="89"/>
      <c r="AE747" s="93"/>
      <c r="AF747" s="93"/>
      <c r="AG747" s="93"/>
      <c r="AH747" s="93"/>
      <c r="AI747" s="93"/>
      <c r="AJ747" s="93"/>
      <c r="AK747" s="93"/>
      <c r="AL747" s="93"/>
      <c r="AM747" s="93"/>
      <c r="AN747" s="93"/>
    </row>
    <row r="748" spans="22:40" hidden="1"/>
    <row r="749" spans="22:40" hidden="1">
      <c r="W749" s="94"/>
      <c r="X749" s="94"/>
      <c r="Y749" s="95"/>
      <c r="AA749" s="94"/>
      <c r="AD749" s="94"/>
    </row>
    <row r="750" spans="22:40" hidden="1">
      <c r="W750" s="94"/>
      <c r="X750" s="94"/>
      <c r="Y750" s="95"/>
      <c r="AA750" s="94"/>
      <c r="AD750" s="94"/>
    </row>
    <row r="751" spans="22:40" hidden="1">
      <c r="W751" s="94"/>
      <c r="X751" s="94"/>
      <c r="Y751" s="95"/>
      <c r="AA751" s="94"/>
      <c r="AE751" s="94"/>
      <c r="AF751" s="94"/>
      <c r="AG751" s="94"/>
      <c r="AH751" s="94"/>
      <c r="AI751" s="94"/>
      <c r="AJ751" s="94"/>
      <c r="AK751" s="94"/>
      <c r="AL751" s="94"/>
      <c r="AM751" s="94"/>
      <c r="AN751" s="94"/>
    </row>
    <row r="752" spans="22:40" hidden="1">
      <c r="W752" s="94"/>
      <c r="X752" s="94"/>
      <c r="Y752" s="95"/>
      <c r="AA752" s="94"/>
      <c r="AE752" s="94"/>
      <c r="AF752" s="94"/>
      <c r="AG752" s="94"/>
      <c r="AH752" s="94"/>
      <c r="AI752" s="94"/>
      <c r="AJ752" s="94"/>
      <c r="AK752" s="94"/>
      <c r="AL752" s="94"/>
      <c r="AM752" s="94"/>
      <c r="AN752" s="94"/>
    </row>
    <row r="753" spans="22:40" hidden="1">
      <c r="W753" s="94"/>
      <c r="X753" s="94"/>
      <c r="Y753" s="95"/>
      <c r="AA753" s="94"/>
      <c r="AE753" s="94"/>
      <c r="AF753" s="94"/>
      <c r="AG753" s="94"/>
      <c r="AH753" s="94"/>
      <c r="AI753" s="94"/>
      <c r="AJ753" s="94"/>
      <c r="AK753" s="94"/>
      <c r="AL753" s="94"/>
      <c r="AM753" s="94"/>
      <c r="AN753" s="94"/>
    </row>
    <row r="754" spans="22:40">
      <c r="W754" s="94"/>
      <c r="X754" s="94"/>
      <c r="Y754" s="95"/>
      <c r="AA754" s="94"/>
    </row>
    <row r="755" spans="22:40">
      <c r="W755" s="94"/>
      <c r="X755" s="94"/>
      <c r="Y755" s="95"/>
      <c r="AA755" s="94"/>
      <c r="AD755" s="94"/>
      <c r="AE755" s="94"/>
      <c r="AF755" s="94"/>
      <c r="AG755" s="94"/>
      <c r="AH755" s="94"/>
      <c r="AI755" s="94"/>
      <c r="AJ755" s="94"/>
      <c r="AK755" s="94"/>
      <c r="AL755" s="94"/>
      <c r="AM755" s="94"/>
      <c r="AN755" s="94"/>
    </row>
    <row r="756" spans="22:40">
      <c r="W756" s="94"/>
      <c r="X756" s="94"/>
      <c r="Y756" s="95"/>
      <c r="AA756" s="94"/>
    </row>
    <row r="757" spans="22:40">
      <c r="W757" s="94"/>
      <c r="X757" s="94"/>
      <c r="Y757" s="95"/>
      <c r="AA757" s="94"/>
    </row>
    <row r="758" spans="22:40">
      <c r="W758" s="94"/>
      <c r="X758" s="94"/>
      <c r="Y758" s="95"/>
      <c r="AA758" s="94"/>
    </row>
    <row r="759" spans="22:40">
      <c r="V759" s="91"/>
    </row>
    <row r="761" spans="22:40">
      <c r="V761" s="36"/>
      <c r="W761" s="36"/>
      <c r="X761" s="36"/>
      <c r="Y761" s="36"/>
      <c r="Z761" s="36"/>
      <c r="AA761" s="36"/>
    </row>
    <row r="763" spans="22:40">
      <c r="W763" s="96"/>
      <c r="X763" s="96"/>
      <c r="Y763" s="95"/>
      <c r="AA763" s="94"/>
    </row>
    <row r="764" spans="22:40">
      <c r="W764" s="96"/>
      <c r="X764" s="96"/>
      <c r="Y764" s="95"/>
      <c r="AA764" s="94"/>
    </row>
    <row r="765" spans="22:40">
      <c r="W765" s="96"/>
      <c r="X765" s="96"/>
      <c r="Y765" s="95"/>
      <c r="AA765" s="94"/>
    </row>
    <row r="766" spans="22:40">
      <c r="W766" s="96"/>
      <c r="X766" s="96"/>
      <c r="Y766" s="95"/>
      <c r="AA766" s="94"/>
    </row>
    <row r="767" spans="22:40">
      <c r="W767" s="96"/>
      <c r="X767" s="96"/>
      <c r="Y767" s="95"/>
      <c r="AA767" s="94"/>
    </row>
    <row r="768" spans="22:40">
      <c r="W768" s="96"/>
      <c r="X768" s="96"/>
      <c r="Y768" s="95"/>
      <c r="AA768" s="94"/>
    </row>
    <row r="769" spans="23:27">
      <c r="W769" s="96"/>
      <c r="X769" s="96"/>
      <c r="Y769" s="95"/>
      <c r="AA769" s="94"/>
    </row>
    <row r="770" spans="23:27">
      <c r="W770" s="96"/>
      <c r="X770" s="96"/>
      <c r="Y770" s="95"/>
      <c r="AA770" s="94"/>
    </row>
    <row r="771" spans="23:27">
      <c r="W771" s="96"/>
      <c r="X771" s="96"/>
      <c r="Y771" s="95"/>
      <c r="AA771" s="94"/>
    </row>
    <row r="772" spans="23:27">
      <c r="W772" s="96"/>
      <c r="X772" s="96"/>
      <c r="Y772" s="95"/>
      <c r="AA772" s="94"/>
    </row>
    <row r="773" spans="23:27">
      <c r="W773" s="96"/>
      <c r="X773" s="96"/>
      <c r="Y773" s="95"/>
      <c r="AA773" s="94"/>
    </row>
    <row r="774" spans="23:27">
      <c r="W774" s="96"/>
      <c r="X774" s="96"/>
      <c r="Y774" s="95"/>
      <c r="AA774" s="94"/>
    </row>
    <row r="775" spans="23:27">
      <c r="W775" s="96"/>
      <c r="X775" s="96"/>
      <c r="Y775" s="95"/>
      <c r="AA775" s="94"/>
    </row>
    <row r="776" spans="23:27">
      <c r="W776" s="96"/>
      <c r="X776" s="96"/>
      <c r="Y776" s="95"/>
      <c r="AA776" s="94"/>
    </row>
    <row r="777" spans="23:27">
      <c r="W777" s="96"/>
      <c r="X777" s="96"/>
      <c r="Y777" s="95"/>
      <c r="AA777" s="94"/>
    </row>
    <row r="778" spans="23:27">
      <c r="W778" s="96"/>
      <c r="X778" s="96"/>
      <c r="Y778" s="95"/>
      <c r="AA778" s="94"/>
    </row>
    <row r="779" spans="23:27">
      <c r="W779" s="96"/>
      <c r="X779" s="96"/>
      <c r="Y779" s="95"/>
      <c r="AA779" s="94"/>
    </row>
    <row r="780" spans="23:27">
      <c r="W780" s="96"/>
      <c r="X780" s="96"/>
      <c r="Y780" s="95"/>
      <c r="AA780" s="94"/>
    </row>
    <row r="781" spans="23:27">
      <c r="W781" s="96"/>
      <c r="X781" s="96"/>
      <c r="Y781" s="95"/>
      <c r="AA781" s="94"/>
    </row>
    <row r="782" spans="23:27">
      <c r="W782" s="96"/>
      <c r="X782" s="96"/>
      <c r="Y782" s="95"/>
      <c r="AA782" s="94"/>
    </row>
    <row r="783" spans="23:27">
      <c r="W783" s="96"/>
      <c r="X783" s="96"/>
      <c r="Y783" s="95"/>
      <c r="AA783" s="94"/>
    </row>
    <row r="784" spans="23:27">
      <c r="W784" s="96"/>
      <c r="X784" s="96"/>
      <c r="Y784" s="95"/>
      <c r="AA784" s="94"/>
    </row>
    <row r="785" spans="23:27">
      <c r="W785" s="96"/>
      <c r="X785" s="96"/>
      <c r="Y785" s="95"/>
      <c r="AA785" s="94"/>
    </row>
    <row r="786" spans="23:27">
      <c r="W786" s="96"/>
      <c r="X786" s="96"/>
      <c r="Y786" s="95"/>
      <c r="AA786" s="94"/>
    </row>
    <row r="787" spans="23:27">
      <c r="W787" s="96"/>
      <c r="X787" s="96"/>
      <c r="Y787" s="95"/>
      <c r="AA787" s="94"/>
    </row>
    <row r="788" spans="23:27">
      <c r="W788" s="96"/>
      <c r="X788" s="96"/>
      <c r="Y788" s="95"/>
      <c r="AA788" s="94"/>
    </row>
    <row r="789" spans="23:27">
      <c r="W789" s="96"/>
      <c r="X789" s="96"/>
      <c r="Y789" s="95"/>
      <c r="AA789" s="94"/>
    </row>
    <row r="790" spans="23:27">
      <c r="W790" s="96"/>
      <c r="X790" s="96"/>
      <c r="Y790" s="95"/>
      <c r="AA790" s="94"/>
    </row>
    <row r="791" spans="23:27">
      <c r="W791" s="96"/>
      <c r="X791" s="96"/>
      <c r="Y791" s="95"/>
      <c r="AA791" s="94"/>
    </row>
    <row r="792" spans="23:27">
      <c r="W792" s="96"/>
      <c r="X792" s="96"/>
      <c r="Y792" s="95"/>
      <c r="AA792" s="94"/>
    </row>
    <row r="793" spans="23:27">
      <c r="W793" s="96"/>
      <c r="X793" s="96"/>
      <c r="Y793" s="95"/>
      <c r="AA793" s="94"/>
    </row>
    <row r="794" spans="23:27">
      <c r="W794" s="96"/>
      <c r="X794" s="96"/>
      <c r="Y794" s="95"/>
      <c r="AA794" s="94"/>
    </row>
    <row r="795" spans="23:27">
      <c r="W795" s="96"/>
      <c r="X795" s="96"/>
      <c r="Y795" s="95"/>
      <c r="AA795" s="94"/>
    </row>
    <row r="796" spans="23:27">
      <c r="W796" s="96"/>
      <c r="X796" s="96"/>
      <c r="Y796" s="95"/>
      <c r="AA796" s="94"/>
    </row>
    <row r="797" spans="23:27">
      <c r="W797" s="96"/>
      <c r="X797" s="96"/>
      <c r="Y797" s="95"/>
      <c r="AA797" s="94"/>
    </row>
    <row r="798" spans="23:27">
      <c r="W798" s="96"/>
      <c r="X798" s="96"/>
      <c r="Y798" s="95"/>
      <c r="AA798" s="94"/>
    </row>
    <row r="799" spans="23:27">
      <c r="W799" s="96"/>
      <c r="X799" s="96"/>
      <c r="Y799" s="95"/>
      <c r="AA799" s="94"/>
    </row>
    <row r="800" spans="23:27">
      <c r="W800" s="96"/>
      <c r="X800" s="96"/>
      <c r="Y800" s="95"/>
      <c r="AA800" s="94"/>
    </row>
    <row r="801" spans="23:27">
      <c r="W801" s="96"/>
      <c r="X801" s="96"/>
      <c r="Y801" s="95"/>
      <c r="AA801" s="94"/>
    </row>
    <row r="802" spans="23:27">
      <c r="W802" s="96"/>
      <c r="X802" s="96"/>
      <c r="Y802" s="95"/>
      <c r="AA802" s="94"/>
    </row>
    <row r="803" spans="23:27">
      <c r="W803" s="96"/>
      <c r="X803" s="96"/>
      <c r="Y803" s="95"/>
      <c r="AA803" s="94"/>
    </row>
    <row r="804" spans="23:27">
      <c r="W804" s="96"/>
      <c r="X804" s="96"/>
      <c r="Y804" s="95"/>
      <c r="AA804" s="94"/>
    </row>
    <row r="805" spans="23:27">
      <c r="W805" s="96"/>
      <c r="X805" s="96"/>
      <c r="Y805" s="95"/>
      <c r="AA805" s="94"/>
    </row>
    <row r="806" spans="23:27">
      <c r="W806" s="96"/>
      <c r="X806" s="96"/>
      <c r="Y806" s="95"/>
      <c r="AA806" s="94"/>
    </row>
    <row r="807" spans="23:27">
      <c r="W807" s="96"/>
      <c r="X807" s="96"/>
      <c r="Y807" s="95"/>
      <c r="AA807" s="94"/>
    </row>
    <row r="808" spans="23:27">
      <c r="W808" s="96"/>
      <c r="X808" s="96"/>
      <c r="Y808" s="95"/>
      <c r="AA808" s="94"/>
    </row>
    <row r="809" spans="23:27">
      <c r="W809" s="96"/>
      <c r="X809" s="96"/>
      <c r="Y809" s="95"/>
      <c r="AA809" s="94"/>
    </row>
    <row r="810" spans="23:27">
      <c r="W810" s="96"/>
      <c r="X810" s="96"/>
      <c r="Y810" s="95"/>
      <c r="AA810" s="94"/>
    </row>
    <row r="811" spans="23:27">
      <c r="W811" s="96"/>
      <c r="X811" s="96"/>
      <c r="Y811" s="95"/>
      <c r="AA811" s="94"/>
    </row>
    <row r="812" spans="23:27">
      <c r="W812" s="96"/>
      <c r="X812" s="96"/>
      <c r="Y812" s="95"/>
      <c r="AA812" s="94"/>
    </row>
    <row r="813" spans="23:27">
      <c r="W813" s="96"/>
      <c r="X813" s="96"/>
      <c r="Y813" s="95"/>
      <c r="AA813" s="94"/>
    </row>
    <row r="814" spans="23:27">
      <c r="W814" s="96"/>
      <c r="X814" s="96"/>
      <c r="Y814" s="95"/>
      <c r="AA814" s="94"/>
    </row>
    <row r="815" spans="23:27">
      <c r="W815" s="96"/>
      <c r="X815" s="96"/>
      <c r="Y815" s="95"/>
      <c r="AA815" s="94"/>
    </row>
    <row r="816" spans="23:27">
      <c r="W816" s="96"/>
      <c r="X816" s="96"/>
      <c r="Y816" s="95"/>
      <c r="AA816" s="94"/>
    </row>
    <row r="817" spans="23:27">
      <c r="W817" s="96"/>
      <c r="X817" s="96"/>
      <c r="Y817" s="95"/>
      <c r="AA817" s="94"/>
    </row>
    <row r="818" spans="23:27">
      <c r="W818" s="96"/>
      <c r="X818" s="96"/>
      <c r="Y818" s="95"/>
      <c r="AA818" s="94"/>
    </row>
    <row r="819" spans="23:27">
      <c r="W819" s="96"/>
      <c r="X819" s="96"/>
      <c r="Y819" s="95"/>
      <c r="AA819" s="94"/>
    </row>
    <row r="820" spans="23:27">
      <c r="W820" s="96"/>
      <c r="X820" s="96"/>
      <c r="Y820" s="95"/>
      <c r="AA820" s="94"/>
    </row>
    <row r="821" spans="23:27">
      <c r="W821" s="96"/>
      <c r="X821" s="96"/>
      <c r="Y821" s="95"/>
      <c r="AA821" s="94"/>
    </row>
    <row r="822" spans="23:27">
      <c r="W822" s="96"/>
      <c r="X822" s="96"/>
      <c r="Y822" s="95"/>
      <c r="AA822" s="94"/>
    </row>
    <row r="823" spans="23:27">
      <c r="W823" s="96"/>
      <c r="X823" s="96"/>
      <c r="Y823" s="95"/>
      <c r="AA823" s="94"/>
    </row>
    <row r="824" spans="23:27">
      <c r="W824" s="96"/>
      <c r="X824" s="96"/>
      <c r="Y824" s="95"/>
      <c r="AA824" s="94"/>
    </row>
    <row r="825" spans="23:27">
      <c r="W825" s="96"/>
      <c r="X825" s="96"/>
      <c r="Y825" s="95"/>
      <c r="AA825" s="94"/>
    </row>
    <row r="826" spans="23:27">
      <c r="W826" s="96"/>
      <c r="X826" s="96"/>
      <c r="Y826" s="95"/>
      <c r="AA826" s="94"/>
    </row>
    <row r="827" spans="23:27">
      <c r="W827" s="96"/>
      <c r="X827" s="96"/>
      <c r="Y827" s="95"/>
      <c r="AA827" s="94"/>
    </row>
    <row r="828" spans="23:27">
      <c r="W828" s="96"/>
      <c r="X828" s="96"/>
      <c r="Y828" s="95"/>
      <c r="AA828" s="94"/>
    </row>
    <row r="829" spans="23:27">
      <c r="W829" s="96"/>
      <c r="X829" s="96"/>
      <c r="Y829" s="95"/>
      <c r="AA829" s="94"/>
    </row>
    <row r="830" spans="23:27">
      <c r="W830" s="96"/>
      <c r="X830" s="96"/>
      <c r="Y830" s="95"/>
      <c r="AA830" s="94"/>
    </row>
    <row r="831" spans="23:27">
      <c r="W831" s="96"/>
      <c r="X831" s="96"/>
      <c r="Y831" s="95"/>
      <c r="AA831" s="94"/>
    </row>
    <row r="832" spans="23:27">
      <c r="W832" s="96"/>
      <c r="X832" s="96"/>
      <c r="Y832" s="95"/>
      <c r="AA832" s="94"/>
    </row>
    <row r="833" spans="23:27">
      <c r="W833" s="96"/>
      <c r="X833" s="96"/>
      <c r="Y833" s="95"/>
      <c r="AA833" s="94"/>
    </row>
    <row r="834" spans="23:27">
      <c r="W834" s="96"/>
      <c r="X834" s="96"/>
      <c r="Y834" s="95"/>
      <c r="AA834" s="94"/>
    </row>
    <row r="835" spans="23:27">
      <c r="W835" s="96"/>
      <c r="X835" s="96"/>
      <c r="Y835" s="95"/>
      <c r="AA835" s="94"/>
    </row>
    <row r="836" spans="23:27">
      <c r="W836" s="96"/>
      <c r="X836" s="96"/>
      <c r="Y836" s="95"/>
      <c r="AA836" s="94"/>
    </row>
    <row r="837" spans="23:27">
      <c r="W837" s="96"/>
      <c r="X837" s="96"/>
      <c r="Y837" s="95"/>
      <c r="AA837" s="94"/>
    </row>
    <row r="838" spans="23:27">
      <c r="W838" s="96"/>
      <c r="X838" s="96"/>
      <c r="Y838" s="95"/>
      <c r="AA838" s="94"/>
    </row>
    <row r="839" spans="23:27">
      <c r="W839" s="96"/>
      <c r="X839" s="96"/>
      <c r="Y839" s="95"/>
      <c r="AA839" s="94"/>
    </row>
    <row r="840" spans="23:27">
      <c r="W840" s="96"/>
      <c r="X840" s="96"/>
      <c r="Y840" s="95"/>
      <c r="AA840" s="94"/>
    </row>
    <row r="841" spans="23:27">
      <c r="W841" s="96"/>
      <c r="X841" s="96"/>
      <c r="Y841" s="95"/>
      <c r="AA841" s="94"/>
    </row>
    <row r="842" spans="23:27">
      <c r="W842" s="96"/>
      <c r="X842" s="96"/>
      <c r="Y842" s="95"/>
      <c r="AA842" s="94"/>
    </row>
    <row r="843" spans="23:27">
      <c r="W843" s="96"/>
      <c r="X843" s="96"/>
      <c r="Y843" s="95"/>
      <c r="AA843" s="94"/>
    </row>
    <row r="844" spans="23:27">
      <c r="W844" s="96"/>
      <c r="X844" s="96"/>
      <c r="Y844" s="95"/>
      <c r="AA844" s="94"/>
    </row>
    <row r="845" spans="23:27">
      <c r="W845" s="96"/>
      <c r="X845" s="96"/>
      <c r="Y845" s="95"/>
      <c r="AA845" s="94"/>
    </row>
    <row r="846" spans="23:27">
      <c r="W846" s="96"/>
      <c r="X846" s="96"/>
      <c r="Y846" s="95"/>
      <c r="AA846" s="94"/>
    </row>
    <row r="847" spans="23:27">
      <c r="W847" s="96"/>
      <c r="X847" s="96"/>
      <c r="Y847" s="95"/>
      <c r="AA847" s="94"/>
    </row>
    <row r="848" spans="23:27">
      <c r="W848" s="96"/>
      <c r="X848" s="96"/>
      <c r="Y848" s="95"/>
      <c r="AA848" s="94"/>
    </row>
    <row r="849" spans="23:27">
      <c r="W849" s="96"/>
      <c r="X849" s="96"/>
      <c r="Y849" s="95"/>
      <c r="AA849" s="94"/>
    </row>
    <row r="850" spans="23:27">
      <c r="W850" s="96"/>
      <c r="X850" s="96"/>
      <c r="Y850" s="95"/>
      <c r="AA850" s="94"/>
    </row>
    <row r="851" spans="23:27">
      <c r="W851" s="96"/>
      <c r="X851" s="96"/>
      <c r="Y851" s="95"/>
      <c r="AA851" s="94"/>
    </row>
    <row r="852" spans="23:27">
      <c r="W852" s="96"/>
      <c r="X852" s="96"/>
      <c r="Y852" s="95"/>
      <c r="AA852" s="94"/>
    </row>
    <row r="853" spans="23:27">
      <c r="W853" s="96"/>
      <c r="X853" s="96"/>
      <c r="Y853" s="95"/>
      <c r="AA853" s="94"/>
    </row>
    <row r="854" spans="23:27">
      <c r="W854" s="96"/>
      <c r="X854" s="96"/>
      <c r="Y854" s="95"/>
      <c r="AA854" s="94"/>
    </row>
    <row r="855" spans="23:27">
      <c r="W855" s="96"/>
      <c r="X855" s="96"/>
      <c r="Y855" s="95"/>
      <c r="AA855" s="94"/>
    </row>
    <row r="856" spans="23:27">
      <c r="W856" s="96"/>
      <c r="X856" s="96"/>
      <c r="Y856" s="95"/>
      <c r="AA856" s="94"/>
    </row>
    <row r="857" spans="23:27">
      <c r="W857" s="96"/>
      <c r="X857" s="96"/>
      <c r="Y857" s="95"/>
      <c r="AA857" s="94"/>
    </row>
    <row r="858" spans="23:27">
      <c r="W858" s="96"/>
      <c r="X858" s="96"/>
      <c r="Y858" s="95"/>
      <c r="AA858" s="94"/>
    </row>
    <row r="859" spans="23:27">
      <c r="W859" s="96"/>
      <c r="X859" s="96"/>
      <c r="Y859" s="95"/>
      <c r="AA859" s="94"/>
    </row>
    <row r="860" spans="23:27">
      <c r="W860" s="96"/>
      <c r="X860" s="96"/>
      <c r="Y860" s="95"/>
      <c r="AA860" s="94"/>
    </row>
    <row r="861" spans="23:27">
      <c r="W861" s="96"/>
      <c r="X861" s="96"/>
      <c r="Y861" s="95"/>
      <c r="AA861" s="94"/>
    </row>
    <row r="862" spans="23:27">
      <c r="W862" s="96"/>
      <c r="X862" s="96"/>
      <c r="Y862" s="95"/>
      <c r="AA862" s="94"/>
    </row>
    <row r="863" spans="23:27">
      <c r="W863" s="96"/>
      <c r="X863" s="96"/>
      <c r="Y863" s="95"/>
      <c r="AA863" s="94"/>
    </row>
    <row r="864" spans="23:27">
      <c r="W864" s="96"/>
      <c r="X864" s="96"/>
      <c r="Y864" s="95"/>
      <c r="AA864" s="94"/>
    </row>
    <row r="865" spans="23:27">
      <c r="W865" s="96"/>
      <c r="X865" s="96"/>
      <c r="Y865" s="95"/>
      <c r="AA865" s="94"/>
    </row>
    <row r="866" spans="23:27">
      <c r="W866" s="96"/>
      <c r="X866" s="96"/>
      <c r="Y866" s="95"/>
      <c r="AA866" s="94"/>
    </row>
    <row r="867" spans="23:27">
      <c r="W867" s="96"/>
      <c r="X867" s="96"/>
      <c r="Y867" s="95"/>
      <c r="AA867" s="94"/>
    </row>
    <row r="868" spans="23:27">
      <c r="W868" s="96"/>
      <c r="X868" s="96"/>
      <c r="Y868" s="95"/>
      <c r="AA868" s="94"/>
    </row>
    <row r="869" spans="23:27">
      <c r="W869" s="96"/>
      <c r="X869" s="96"/>
      <c r="Y869" s="95"/>
      <c r="AA869" s="94"/>
    </row>
    <row r="870" spans="23:27">
      <c r="W870" s="96"/>
      <c r="X870" s="96"/>
      <c r="Y870" s="95"/>
      <c r="AA870" s="94"/>
    </row>
    <row r="871" spans="23:27">
      <c r="W871" s="96"/>
      <c r="X871" s="96"/>
      <c r="Y871" s="95"/>
      <c r="AA871" s="94"/>
    </row>
    <row r="872" spans="23:27">
      <c r="W872" s="96"/>
      <c r="X872" s="96"/>
      <c r="Y872" s="95"/>
      <c r="AA872" s="94"/>
    </row>
    <row r="873" spans="23:27">
      <c r="W873" s="96"/>
      <c r="X873" s="96"/>
      <c r="Y873" s="95"/>
      <c r="AA873" s="94"/>
    </row>
    <row r="874" spans="23:27">
      <c r="W874" s="96"/>
      <c r="X874" s="96"/>
      <c r="Y874" s="95"/>
      <c r="AA874" s="94"/>
    </row>
    <row r="875" spans="23:27">
      <c r="W875" s="96"/>
      <c r="X875" s="96"/>
      <c r="Y875" s="95"/>
      <c r="AA875" s="94"/>
    </row>
    <row r="876" spans="23:27">
      <c r="W876" s="96"/>
      <c r="X876" s="96"/>
      <c r="Y876" s="95"/>
      <c r="AA876" s="94"/>
    </row>
    <row r="877" spans="23:27">
      <c r="W877" s="96"/>
      <c r="X877" s="96"/>
      <c r="Y877" s="95"/>
      <c r="AA877" s="94"/>
    </row>
    <row r="878" spans="23:27">
      <c r="W878" s="96"/>
      <c r="X878" s="96"/>
      <c r="Y878" s="95"/>
      <c r="AA878" s="94"/>
    </row>
    <row r="879" spans="23:27">
      <c r="W879" s="96"/>
      <c r="X879" s="96"/>
      <c r="Y879" s="95"/>
      <c r="AA879" s="94"/>
    </row>
    <row r="880" spans="23:27">
      <c r="W880" s="96"/>
      <c r="X880" s="96"/>
      <c r="Y880" s="95"/>
      <c r="AA880" s="94"/>
    </row>
    <row r="881" spans="22:40">
      <c r="W881" s="96"/>
      <c r="X881" s="96"/>
      <c r="Y881" s="95"/>
      <c r="AA881" s="94"/>
    </row>
    <row r="882" spans="22:40">
      <c r="W882" s="96"/>
      <c r="X882" s="96"/>
      <c r="Y882" s="95"/>
      <c r="AA882" s="94"/>
    </row>
    <row r="885" spans="22:40">
      <c r="W885" s="35"/>
    </row>
    <row r="886" spans="22:40">
      <c r="W886" s="35"/>
    </row>
    <row r="887" spans="22:40">
      <c r="W887" s="92"/>
    </row>
    <row r="888" spans="22:40">
      <c r="W888" s="92"/>
    </row>
    <row r="890" spans="22:40">
      <c r="AE890" s="36"/>
      <c r="AF890" s="36"/>
      <c r="AG890" s="36"/>
      <c r="AH890" s="36"/>
      <c r="AI890" s="36"/>
      <c r="AJ890" s="36"/>
      <c r="AK890" s="36"/>
      <c r="AL890" s="36"/>
      <c r="AM890" s="36"/>
      <c r="AN890" s="36"/>
    </row>
    <row r="891" spans="22:40">
      <c r="V891" s="36"/>
      <c r="W891" s="36"/>
      <c r="X891" s="36"/>
      <c r="Y891" s="36"/>
      <c r="Z891" s="36"/>
      <c r="AA891" s="36"/>
      <c r="AD891" s="89"/>
      <c r="AE891" s="93"/>
      <c r="AF891" s="93"/>
      <c r="AG891" s="93"/>
      <c r="AH891" s="93"/>
      <c r="AI891" s="93"/>
      <c r="AJ891" s="93"/>
      <c r="AK891" s="93"/>
      <c r="AL891" s="93"/>
      <c r="AM891" s="93"/>
      <c r="AN891" s="93"/>
    </row>
    <row r="893" spans="22:40">
      <c r="W893" s="94"/>
      <c r="X893" s="94"/>
      <c r="Y893" s="95"/>
      <c r="AA893" s="94"/>
      <c r="AD893" s="94"/>
    </row>
    <row r="894" spans="22:40">
      <c r="W894" s="94"/>
      <c r="X894" s="94"/>
      <c r="Y894" s="95"/>
      <c r="AA894" s="94"/>
      <c r="AD894" s="94"/>
    </row>
    <row r="895" spans="22:40">
      <c r="W895" s="94"/>
      <c r="X895" s="94"/>
      <c r="Y895" s="95"/>
      <c r="AA895" s="94"/>
      <c r="AE895" s="94"/>
      <c r="AF895" s="94"/>
      <c r="AG895" s="94"/>
      <c r="AH895" s="94"/>
      <c r="AI895" s="94"/>
      <c r="AJ895" s="94"/>
      <c r="AK895" s="94"/>
      <c r="AL895" s="94"/>
      <c r="AM895" s="94"/>
      <c r="AN895" s="94"/>
    </row>
    <row r="896" spans="22:40">
      <c r="W896" s="94"/>
      <c r="X896" s="94"/>
      <c r="Y896" s="95"/>
      <c r="AA896" s="94"/>
      <c r="AE896" s="94"/>
      <c r="AF896" s="94"/>
      <c r="AG896" s="94"/>
      <c r="AH896" s="94"/>
      <c r="AI896" s="94"/>
      <c r="AJ896" s="94"/>
      <c r="AK896" s="94"/>
      <c r="AL896" s="94"/>
      <c r="AM896" s="94"/>
      <c r="AN896" s="94"/>
    </row>
    <row r="897" spans="22:40">
      <c r="W897" s="94"/>
      <c r="X897" s="94"/>
      <c r="Y897" s="95"/>
      <c r="AA897" s="94"/>
      <c r="AE897" s="94"/>
      <c r="AF897" s="94"/>
      <c r="AG897" s="94"/>
      <c r="AH897" s="94"/>
      <c r="AI897" s="94"/>
      <c r="AJ897" s="94"/>
      <c r="AK897" s="94"/>
      <c r="AL897" s="94"/>
      <c r="AM897" s="94"/>
      <c r="AN897" s="94"/>
    </row>
    <row r="898" spans="22:40">
      <c r="W898" s="94"/>
      <c r="X898" s="94"/>
      <c r="Y898" s="95"/>
      <c r="AA898" s="94"/>
    </row>
    <row r="899" spans="22:40">
      <c r="W899" s="94"/>
      <c r="X899" s="94"/>
      <c r="Y899" s="95"/>
      <c r="AA899" s="94"/>
      <c r="AD899" s="94"/>
      <c r="AE899" s="94"/>
      <c r="AF899" s="94"/>
      <c r="AG899" s="94"/>
      <c r="AH899" s="94"/>
      <c r="AI899" s="94"/>
      <c r="AJ899" s="94"/>
      <c r="AK899" s="94"/>
      <c r="AL899" s="94"/>
      <c r="AM899" s="94"/>
      <c r="AN899" s="94"/>
    </row>
    <row r="900" spans="22:40">
      <c r="W900" s="94"/>
      <c r="X900" s="94"/>
      <c r="Y900" s="95"/>
      <c r="AA900" s="94"/>
    </row>
    <row r="901" spans="22:40">
      <c r="W901" s="94"/>
      <c r="X901" s="94"/>
      <c r="Y901" s="95"/>
      <c r="AA901" s="94"/>
    </row>
    <row r="902" spans="22:40">
      <c r="W902" s="94"/>
      <c r="X902" s="94"/>
      <c r="Y902" s="95"/>
      <c r="AA902" s="94"/>
    </row>
    <row r="903" spans="22:40">
      <c r="V903" s="91"/>
    </row>
    <row r="905" spans="22:40">
      <c r="V905" s="36"/>
      <c r="W905" s="36"/>
      <c r="X905" s="36"/>
      <c r="Y905" s="36"/>
      <c r="Z905" s="36"/>
      <c r="AA905" s="36"/>
    </row>
    <row r="907" spans="22:40">
      <c r="W907" s="96"/>
      <c r="X907" s="96"/>
      <c r="Y907" s="95"/>
      <c r="AA907" s="94"/>
    </row>
    <row r="908" spans="22:40">
      <c r="W908" s="96"/>
      <c r="X908" s="96"/>
      <c r="Y908" s="95"/>
      <c r="AA908" s="94"/>
    </row>
    <row r="909" spans="22:40">
      <c r="W909" s="96"/>
      <c r="X909" s="96"/>
      <c r="Y909" s="95"/>
      <c r="AA909" s="94"/>
    </row>
    <row r="910" spans="22:40">
      <c r="W910" s="96"/>
      <c r="X910" s="96"/>
      <c r="Y910" s="95"/>
      <c r="AA910" s="94"/>
    </row>
    <row r="911" spans="22:40">
      <c r="W911" s="96"/>
      <c r="X911" s="96"/>
      <c r="Y911" s="95"/>
      <c r="AA911" s="94"/>
    </row>
    <row r="912" spans="22:40">
      <c r="W912" s="96"/>
      <c r="X912" s="96"/>
      <c r="Y912" s="95"/>
      <c r="AA912" s="94"/>
    </row>
    <row r="913" spans="23:27">
      <c r="W913" s="96"/>
      <c r="X913" s="96"/>
      <c r="Y913" s="95"/>
      <c r="AA913" s="94"/>
    </row>
    <row r="914" spans="23:27">
      <c r="W914" s="96"/>
      <c r="X914" s="96"/>
      <c r="Y914" s="95"/>
      <c r="AA914" s="94"/>
    </row>
    <row r="915" spans="23:27">
      <c r="W915" s="96"/>
      <c r="X915" s="96"/>
      <c r="Y915" s="95"/>
      <c r="AA915" s="94"/>
    </row>
    <row r="916" spans="23:27">
      <c r="W916" s="96"/>
      <c r="X916" s="96"/>
      <c r="Y916" s="95"/>
      <c r="AA916" s="94"/>
    </row>
    <row r="917" spans="23:27">
      <c r="W917" s="96"/>
      <c r="X917" s="96"/>
      <c r="Y917" s="95"/>
      <c r="AA917" s="94"/>
    </row>
    <row r="918" spans="23:27">
      <c r="W918" s="96"/>
      <c r="X918" s="96"/>
      <c r="Y918" s="95"/>
      <c r="AA918" s="94"/>
    </row>
    <row r="919" spans="23:27">
      <c r="W919" s="96"/>
      <c r="X919" s="96"/>
      <c r="Y919" s="95"/>
      <c r="AA919" s="94"/>
    </row>
    <row r="920" spans="23:27" hidden="1">
      <c r="W920" s="96"/>
      <c r="X920" s="96"/>
      <c r="Y920" s="95"/>
      <c r="AA920" s="94"/>
    </row>
    <row r="921" spans="23:27" hidden="1">
      <c r="W921" s="96"/>
      <c r="X921" s="96"/>
      <c r="Y921" s="95"/>
      <c r="AA921" s="94"/>
    </row>
    <row r="922" spans="23:27" hidden="1">
      <c r="W922" s="96"/>
      <c r="X922" s="96"/>
      <c r="Y922" s="95"/>
      <c r="AA922" s="94"/>
    </row>
    <row r="923" spans="23:27" hidden="1">
      <c r="W923" s="96"/>
      <c r="X923" s="96"/>
      <c r="Y923" s="95"/>
      <c r="AA923" s="94"/>
    </row>
    <row r="924" spans="23:27" hidden="1">
      <c r="W924" s="96"/>
      <c r="X924" s="96"/>
      <c r="Y924" s="95"/>
      <c r="AA924" s="94"/>
    </row>
    <row r="925" spans="23:27" hidden="1">
      <c r="W925" s="96"/>
      <c r="X925" s="96"/>
      <c r="Y925" s="95"/>
      <c r="AA925" s="94"/>
    </row>
    <row r="926" spans="23:27" hidden="1">
      <c r="W926" s="96"/>
      <c r="X926" s="96"/>
      <c r="Y926" s="95"/>
      <c r="AA926" s="94"/>
    </row>
    <row r="927" spans="23:27" hidden="1">
      <c r="W927" s="96"/>
      <c r="X927" s="96"/>
      <c r="Y927" s="95"/>
      <c r="AA927" s="94"/>
    </row>
    <row r="928" spans="23:27" hidden="1">
      <c r="W928" s="96"/>
      <c r="X928" s="96"/>
      <c r="Y928" s="95"/>
      <c r="AA928" s="94"/>
    </row>
    <row r="929" spans="23:27" hidden="1">
      <c r="W929" s="96"/>
      <c r="X929" s="96"/>
      <c r="Y929" s="95"/>
      <c r="AA929" s="94"/>
    </row>
    <row r="930" spans="23:27" hidden="1">
      <c r="W930" s="96"/>
      <c r="X930" s="96"/>
      <c r="Y930" s="95"/>
      <c r="AA930" s="94"/>
    </row>
    <row r="931" spans="23:27" hidden="1">
      <c r="W931" s="96"/>
      <c r="X931" s="96"/>
      <c r="Y931" s="95"/>
      <c r="AA931" s="94"/>
    </row>
    <row r="932" spans="23:27" hidden="1">
      <c r="W932" s="96"/>
      <c r="X932" s="96"/>
      <c r="Y932" s="95"/>
      <c r="AA932" s="94"/>
    </row>
    <row r="933" spans="23:27" hidden="1">
      <c r="W933" s="96"/>
      <c r="X933" s="96"/>
      <c r="Y933" s="95"/>
      <c r="AA933" s="94"/>
    </row>
    <row r="934" spans="23:27" hidden="1">
      <c r="W934" s="96"/>
      <c r="X934" s="96"/>
      <c r="Y934" s="95"/>
      <c r="AA934" s="94"/>
    </row>
    <row r="935" spans="23:27" hidden="1">
      <c r="W935" s="96"/>
      <c r="X935" s="96"/>
      <c r="Y935" s="95"/>
      <c r="AA935" s="94"/>
    </row>
    <row r="936" spans="23:27" hidden="1">
      <c r="W936" s="96"/>
      <c r="X936" s="96"/>
      <c r="Y936" s="95"/>
      <c r="AA936" s="94"/>
    </row>
    <row r="937" spans="23:27" hidden="1">
      <c r="W937" s="96"/>
      <c r="X937" s="96"/>
      <c r="Y937" s="95"/>
      <c r="AA937" s="94"/>
    </row>
    <row r="938" spans="23:27" hidden="1">
      <c r="W938" s="96"/>
      <c r="X938" s="96"/>
      <c r="Y938" s="95"/>
      <c r="AA938" s="94"/>
    </row>
    <row r="939" spans="23:27" hidden="1">
      <c r="W939" s="96"/>
      <c r="X939" s="96"/>
      <c r="Y939" s="95"/>
      <c r="AA939" s="94"/>
    </row>
    <row r="940" spans="23:27" hidden="1">
      <c r="W940" s="96"/>
      <c r="X940" s="96"/>
      <c r="Y940" s="95"/>
      <c r="AA940" s="94"/>
    </row>
    <row r="941" spans="23:27" hidden="1">
      <c r="W941" s="96"/>
      <c r="X941" s="96"/>
      <c r="Y941" s="95"/>
      <c r="AA941" s="94"/>
    </row>
    <row r="942" spans="23:27" hidden="1">
      <c r="W942" s="96"/>
      <c r="X942" s="96"/>
      <c r="Y942" s="95"/>
      <c r="AA942" s="94"/>
    </row>
    <row r="943" spans="23:27" hidden="1">
      <c r="W943" s="96"/>
      <c r="X943" s="96"/>
      <c r="Y943" s="95"/>
      <c r="AA943" s="94"/>
    </row>
    <row r="944" spans="23:27" hidden="1">
      <c r="W944" s="96"/>
      <c r="X944" s="96"/>
      <c r="Y944" s="95"/>
      <c r="AA944" s="94"/>
    </row>
    <row r="945" spans="23:27" hidden="1">
      <c r="W945" s="96"/>
      <c r="X945" s="96"/>
      <c r="Y945" s="95"/>
      <c r="AA945" s="94"/>
    </row>
    <row r="946" spans="23:27" hidden="1">
      <c r="W946" s="96"/>
      <c r="X946" s="96"/>
      <c r="Y946" s="95"/>
      <c r="AA946" s="94"/>
    </row>
    <row r="947" spans="23:27" hidden="1">
      <c r="W947" s="96"/>
      <c r="X947" s="96"/>
      <c r="Y947" s="95"/>
      <c r="AA947" s="94"/>
    </row>
    <row r="948" spans="23:27" hidden="1">
      <c r="W948" s="96"/>
      <c r="X948" s="96"/>
      <c r="Y948" s="95"/>
      <c r="AA948" s="94"/>
    </row>
    <row r="949" spans="23:27" hidden="1">
      <c r="W949" s="96"/>
      <c r="X949" s="96"/>
      <c r="Y949" s="95"/>
      <c r="AA949" s="94"/>
    </row>
    <row r="950" spans="23:27" hidden="1">
      <c r="W950" s="96"/>
      <c r="X950" s="96"/>
      <c r="Y950" s="95"/>
      <c r="AA950" s="94"/>
    </row>
    <row r="951" spans="23:27" hidden="1">
      <c r="W951" s="96"/>
      <c r="X951" s="96"/>
      <c r="Y951" s="95"/>
      <c r="AA951" s="94"/>
    </row>
    <row r="952" spans="23:27" hidden="1">
      <c r="W952" s="96"/>
      <c r="X952" s="96"/>
      <c r="Y952" s="95"/>
      <c r="AA952" s="94"/>
    </row>
    <row r="953" spans="23:27" hidden="1">
      <c r="W953" s="96"/>
      <c r="X953" s="96"/>
      <c r="Y953" s="95"/>
      <c r="AA953" s="94"/>
    </row>
    <row r="954" spans="23:27" hidden="1">
      <c r="W954" s="96"/>
      <c r="X954" s="96"/>
      <c r="Y954" s="95"/>
      <c r="AA954" s="94"/>
    </row>
    <row r="955" spans="23:27" hidden="1">
      <c r="W955" s="96"/>
      <c r="X955" s="96"/>
      <c r="Y955" s="95"/>
      <c r="AA955" s="94"/>
    </row>
    <row r="956" spans="23:27" hidden="1">
      <c r="W956" s="96"/>
      <c r="X956" s="96"/>
      <c r="Y956" s="95"/>
      <c r="AA956" s="94"/>
    </row>
    <row r="957" spans="23:27" hidden="1">
      <c r="W957" s="96"/>
      <c r="X957" s="96"/>
      <c r="Y957" s="95"/>
      <c r="AA957" s="94"/>
    </row>
    <row r="958" spans="23:27" hidden="1">
      <c r="W958" s="96"/>
      <c r="X958" s="96"/>
      <c r="Y958" s="95"/>
      <c r="AA958" s="94"/>
    </row>
    <row r="959" spans="23:27" hidden="1">
      <c r="W959" s="96"/>
      <c r="X959" s="96"/>
      <c r="Y959" s="95"/>
      <c r="AA959" s="94"/>
    </row>
    <row r="960" spans="23:27" hidden="1">
      <c r="W960" s="96"/>
      <c r="X960" s="96"/>
      <c r="Y960" s="95"/>
      <c r="AA960" s="94"/>
    </row>
    <row r="961" spans="23:27" hidden="1">
      <c r="W961" s="96"/>
      <c r="X961" s="96"/>
      <c r="Y961" s="95"/>
      <c r="AA961" s="94"/>
    </row>
    <row r="962" spans="23:27" hidden="1">
      <c r="W962" s="96"/>
      <c r="X962" s="96"/>
      <c r="Y962" s="95"/>
      <c r="AA962" s="94"/>
    </row>
    <row r="963" spans="23:27" hidden="1">
      <c r="W963" s="96"/>
      <c r="X963" s="96"/>
      <c r="Y963" s="95"/>
      <c r="AA963" s="94"/>
    </row>
    <row r="964" spans="23:27" hidden="1">
      <c r="W964" s="96"/>
      <c r="X964" s="96"/>
      <c r="Y964" s="95"/>
      <c r="AA964" s="94"/>
    </row>
    <row r="965" spans="23:27" hidden="1">
      <c r="W965" s="96"/>
      <c r="X965" s="96"/>
      <c r="Y965" s="95"/>
      <c r="AA965" s="94"/>
    </row>
    <row r="966" spans="23:27" hidden="1">
      <c r="W966" s="96"/>
      <c r="X966" s="96"/>
      <c r="Y966" s="95"/>
      <c r="AA966" s="94"/>
    </row>
    <row r="967" spans="23:27" hidden="1">
      <c r="W967" s="96"/>
      <c r="X967" s="96"/>
      <c r="Y967" s="95"/>
      <c r="AA967" s="94"/>
    </row>
    <row r="968" spans="23:27" hidden="1">
      <c r="W968" s="96"/>
      <c r="X968" s="96"/>
      <c r="Y968" s="95"/>
      <c r="AA968" s="94"/>
    </row>
    <row r="969" spans="23:27" hidden="1">
      <c r="W969" s="96"/>
      <c r="X969" s="96"/>
      <c r="Y969" s="95"/>
      <c r="AA969" s="94"/>
    </row>
    <row r="970" spans="23:27" hidden="1">
      <c r="W970" s="96"/>
      <c r="X970" s="96"/>
      <c r="Y970" s="95"/>
      <c r="AA970" s="94"/>
    </row>
    <row r="971" spans="23:27" hidden="1">
      <c r="W971" s="96"/>
      <c r="X971" s="96"/>
      <c r="Y971" s="95"/>
      <c r="AA971" s="94"/>
    </row>
    <row r="972" spans="23:27" hidden="1">
      <c r="W972" s="96"/>
      <c r="X972" s="96"/>
      <c r="Y972" s="95"/>
      <c r="AA972" s="94"/>
    </row>
    <row r="973" spans="23:27" hidden="1">
      <c r="W973" s="96"/>
      <c r="X973" s="96"/>
      <c r="Y973" s="95"/>
      <c r="AA973" s="94"/>
    </row>
    <row r="974" spans="23:27" hidden="1">
      <c r="W974" s="96"/>
      <c r="X974" s="96"/>
      <c r="Y974" s="95"/>
      <c r="AA974" s="94"/>
    </row>
    <row r="975" spans="23:27" hidden="1">
      <c r="W975" s="96"/>
      <c r="X975" s="96"/>
      <c r="Y975" s="95"/>
      <c r="AA975" s="94"/>
    </row>
    <row r="976" spans="23:27" hidden="1">
      <c r="W976" s="96"/>
      <c r="X976" s="96"/>
      <c r="Y976" s="95"/>
      <c r="AA976" s="94"/>
    </row>
    <row r="977" spans="23:27" hidden="1">
      <c r="W977" s="96"/>
      <c r="X977" s="96"/>
      <c r="Y977" s="95"/>
      <c r="AA977" s="94"/>
    </row>
    <row r="978" spans="23:27" hidden="1">
      <c r="W978" s="96"/>
      <c r="X978" s="96"/>
      <c r="Y978" s="95"/>
      <c r="AA978" s="94"/>
    </row>
    <row r="979" spans="23:27" hidden="1">
      <c r="W979" s="96"/>
      <c r="X979" s="96"/>
      <c r="Y979" s="95"/>
      <c r="AA979" s="94"/>
    </row>
    <row r="980" spans="23:27" hidden="1">
      <c r="W980" s="96"/>
      <c r="X980" s="96"/>
      <c r="Y980" s="95"/>
      <c r="AA980" s="94"/>
    </row>
    <row r="981" spans="23:27" hidden="1">
      <c r="W981" s="96"/>
      <c r="X981" s="96"/>
      <c r="Y981" s="95"/>
      <c r="AA981" s="94"/>
    </row>
    <row r="982" spans="23:27" hidden="1">
      <c r="W982" s="96"/>
      <c r="X982" s="96"/>
      <c r="Y982" s="95"/>
      <c r="AA982" s="94"/>
    </row>
    <row r="983" spans="23:27" hidden="1">
      <c r="W983" s="96"/>
      <c r="X983" s="96"/>
      <c r="Y983" s="95"/>
      <c r="AA983" s="94"/>
    </row>
    <row r="984" spans="23:27" hidden="1">
      <c r="W984" s="96"/>
      <c r="X984" s="96"/>
      <c r="Y984" s="95"/>
      <c r="AA984" s="94"/>
    </row>
    <row r="985" spans="23:27" hidden="1">
      <c r="W985" s="96"/>
      <c r="X985" s="96"/>
      <c r="Y985" s="95"/>
      <c r="AA985" s="94"/>
    </row>
    <row r="986" spans="23:27" hidden="1">
      <c r="W986" s="96"/>
      <c r="X986" s="96"/>
      <c r="Y986" s="95"/>
      <c r="AA986" s="94"/>
    </row>
    <row r="987" spans="23:27" hidden="1">
      <c r="W987" s="96"/>
      <c r="X987" s="96"/>
      <c r="Y987" s="95"/>
      <c r="AA987" s="94"/>
    </row>
    <row r="988" spans="23:27" hidden="1">
      <c r="W988" s="96"/>
      <c r="X988" s="96"/>
      <c r="Y988" s="95"/>
      <c r="AA988" s="94"/>
    </row>
    <row r="989" spans="23:27" hidden="1">
      <c r="W989" s="96"/>
      <c r="X989" s="96"/>
      <c r="Y989" s="95"/>
      <c r="AA989" s="94"/>
    </row>
    <row r="990" spans="23:27" hidden="1">
      <c r="W990" s="96"/>
      <c r="X990" s="96"/>
      <c r="Y990" s="95"/>
      <c r="AA990" s="94"/>
    </row>
    <row r="991" spans="23:27" hidden="1">
      <c r="W991" s="96"/>
      <c r="X991" s="96"/>
      <c r="Y991" s="95"/>
      <c r="AA991" s="94"/>
    </row>
    <row r="992" spans="23:27" hidden="1">
      <c r="W992" s="96"/>
      <c r="X992" s="96"/>
      <c r="Y992" s="95"/>
      <c r="AA992" s="94"/>
    </row>
    <row r="993" spans="23:27" hidden="1">
      <c r="W993" s="96"/>
      <c r="X993" s="96"/>
      <c r="Y993" s="95"/>
      <c r="AA993" s="94"/>
    </row>
    <row r="994" spans="23:27" hidden="1">
      <c r="W994" s="96"/>
      <c r="X994" s="96"/>
      <c r="Y994" s="95"/>
      <c r="AA994" s="94"/>
    </row>
    <row r="995" spans="23:27" hidden="1">
      <c r="W995" s="96"/>
      <c r="X995" s="96"/>
      <c r="Y995" s="95"/>
      <c r="AA995" s="94"/>
    </row>
    <row r="996" spans="23:27" hidden="1">
      <c r="W996" s="96"/>
      <c r="X996" s="96"/>
      <c r="Y996" s="95"/>
      <c r="AA996" s="94"/>
    </row>
    <row r="997" spans="23:27" hidden="1">
      <c r="W997" s="96"/>
      <c r="X997" s="96"/>
      <c r="Y997" s="95"/>
      <c r="AA997" s="94"/>
    </row>
    <row r="998" spans="23:27" hidden="1">
      <c r="W998" s="96"/>
      <c r="X998" s="96"/>
      <c r="Y998" s="95"/>
      <c r="AA998" s="94"/>
    </row>
    <row r="999" spans="23:27" hidden="1">
      <c r="W999" s="96"/>
      <c r="X999" s="96"/>
      <c r="Y999" s="95"/>
      <c r="AA999" s="94"/>
    </row>
    <row r="1000" spans="23:27" hidden="1">
      <c r="W1000" s="96"/>
      <c r="X1000" s="96"/>
      <c r="Y1000" s="95"/>
      <c r="AA1000" s="94"/>
    </row>
    <row r="1001" spans="23:27" hidden="1">
      <c r="W1001" s="96"/>
      <c r="X1001" s="96"/>
      <c r="Y1001" s="95"/>
      <c r="AA1001" s="94"/>
    </row>
    <row r="1002" spans="23:27" hidden="1">
      <c r="W1002" s="96"/>
      <c r="X1002" s="96"/>
      <c r="Y1002" s="95"/>
      <c r="AA1002" s="94"/>
    </row>
    <row r="1003" spans="23:27" hidden="1">
      <c r="W1003" s="96"/>
      <c r="X1003" s="96"/>
      <c r="Y1003" s="95"/>
      <c r="AA1003" s="94"/>
    </row>
    <row r="1004" spans="23:27" hidden="1">
      <c r="W1004" s="96"/>
      <c r="X1004" s="96"/>
      <c r="Y1004" s="95"/>
      <c r="AA1004" s="94"/>
    </row>
    <row r="1005" spans="23:27" hidden="1">
      <c r="W1005" s="96"/>
      <c r="X1005" s="96"/>
      <c r="Y1005" s="95"/>
      <c r="AA1005" s="94"/>
    </row>
    <row r="1006" spans="23:27" hidden="1">
      <c r="W1006" s="96"/>
      <c r="X1006" s="96"/>
      <c r="Y1006" s="95"/>
      <c r="AA1006" s="94"/>
    </row>
    <row r="1007" spans="23:27" hidden="1">
      <c r="W1007" s="96"/>
      <c r="X1007" s="96"/>
      <c r="Y1007" s="95"/>
      <c r="AA1007" s="94"/>
    </row>
    <row r="1008" spans="23:27" hidden="1">
      <c r="W1008" s="96"/>
      <c r="X1008" s="96"/>
      <c r="Y1008" s="95"/>
      <c r="AA1008" s="94"/>
    </row>
    <row r="1009" spans="23:27" hidden="1">
      <c r="W1009" s="96"/>
      <c r="X1009" s="96"/>
      <c r="Y1009" s="95"/>
      <c r="AA1009" s="94"/>
    </row>
    <row r="1010" spans="23:27" hidden="1">
      <c r="W1010" s="96"/>
      <c r="X1010" s="96"/>
      <c r="Y1010" s="95"/>
      <c r="AA1010" s="94"/>
    </row>
    <row r="1011" spans="23:27" hidden="1">
      <c r="W1011" s="96"/>
      <c r="X1011" s="96"/>
      <c r="Y1011" s="95"/>
      <c r="AA1011" s="94"/>
    </row>
    <row r="1012" spans="23:27" hidden="1">
      <c r="W1012" s="96"/>
      <c r="X1012" s="96"/>
      <c r="Y1012" s="95"/>
      <c r="AA1012" s="94"/>
    </row>
    <row r="1013" spans="23:27" hidden="1">
      <c r="W1013" s="96"/>
      <c r="X1013" s="96"/>
      <c r="Y1013" s="95"/>
      <c r="AA1013" s="94"/>
    </row>
    <row r="1014" spans="23:27" hidden="1">
      <c r="W1014" s="96"/>
      <c r="X1014" s="96"/>
      <c r="Y1014" s="95"/>
      <c r="AA1014" s="94"/>
    </row>
    <row r="1015" spans="23:27" hidden="1">
      <c r="W1015" s="96"/>
      <c r="X1015" s="96"/>
      <c r="Y1015" s="95"/>
      <c r="AA1015" s="94"/>
    </row>
    <row r="1016" spans="23:27" hidden="1">
      <c r="W1016" s="96"/>
      <c r="X1016" s="96"/>
      <c r="Y1016" s="95"/>
      <c r="AA1016" s="94"/>
    </row>
    <row r="1017" spans="23:27" hidden="1">
      <c r="W1017" s="96"/>
      <c r="X1017" s="96"/>
      <c r="Y1017" s="95"/>
      <c r="AA1017" s="94"/>
    </row>
    <row r="1018" spans="23:27" hidden="1">
      <c r="W1018" s="96"/>
      <c r="X1018" s="96"/>
      <c r="Y1018" s="95"/>
      <c r="AA1018" s="94"/>
    </row>
    <row r="1019" spans="23:27" hidden="1">
      <c r="W1019" s="96"/>
      <c r="X1019" s="96"/>
      <c r="Y1019" s="95"/>
      <c r="AA1019" s="94"/>
    </row>
    <row r="1020" spans="23:27" hidden="1">
      <c r="W1020" s="96"/>
      <c r="X1020" s="96"/>
      <c r="Y1020" s="95"/>
      <c r="AA1020" s="94"/>
    </row>
    <row r="1021" spans="23:27" hidden="1">
      <c r="W1021" s="96"/>
      <c r="X1021" s="96"/>
      <c r="Y1021" s="95"/>
      <c r="AA1021" s="94"/>
    </row>
    <row r="1022" spans="23:27" hidden="1">
      <c r="W1022" s="96"/>
      <c r="X1022" s="96"/>
      <c r="Y1022" s="95"/>
      <c r="AA1022" s="94"/>
    </row>
    <row r="1023" spans="23:27" hidden="1">
      <c r="W1023" s="96"/>
      <c r="X1023" s="96"/>
      <c r="Y1023" s="95"/>
      <c r="AA1023" s="94"/>
    </row>
    <row r="1024" spans="23:27" hidden="1">
      <c r="W1024" s="96"/>
      <c r="X1024" s="96"/>
      <c r="Y1024" s="95"/>
      <c r="AA1024" s="94"/>
    </row>
    <row r="1025" spans="22:40" hidden="1">
      <c r="W1025" s="96"/>
      <c r="X1025" s="96"/>
      <c r="Y1025" s="95"/>
      <c r="AA1025" s="94"/>
    </row>
    <row r="1026" spans="22:40" hidden="1">
      <c r="W1026" s="96"/>
      <c r="X1026" s="96"/>
      <c r="Y1026" s="95"/>
      <c r="AA1026" s="94"/>
    </row>
    <row r="1027" spans="22:40" hidden="1"/>
    <row r="1028" spans="22:40" hidden="1"/>
    <row r="1029" spans="22:40" hidden="1">
      <c r="W1029" s="35"/>
    </row>
    <row r="1030" spans="22:40" hidden="1">
      <c r="W1030" s="35"/>
    </row>
    <row r="1031" spans="22:40" hidden="1">
      <c r="W1031" s="92"/>
    </row>
    <row r="1032" spans="22:40" hidden="1">
      <c r="W1032" s="92"/>
    </row>
    <row r="1033" spans="22:40" hidden="1"/>
    <row r="1034" spans="22:40" hidden="1">
      <c r="AE1034" s="36"/>
      <c r="AF1034" s="36"/>
      <c r="AG1034" s="36"/>
      <c r="AH1034" s="36"/>
      <c r="AI1034" s="36"/>
      <c r="AJ1034" s="36"/>
      <c r="AK1034" s="36"/>
      <c r="AL1034" s="36"/>
      <c r="AM1034" s="36"/>
      <c r="AN1034" s="36"/>
    </row>
    <row r="1035" spans="22:40" hidden="1">
      <c r="V1035" s="36"/>
      <c r="W1035" s="36"/>
      <c r="X1035" s="36"/>
      <c r="Y1035" s="36"/>
      <c r="Z1035" s="36"/>
      <c r="AA1035" s="36"/>
      <c r="AD1035" s="89"/>
      <c r="AE1035" s="93"/>
      <c r="AF1035" s="93"/>
      <c r="AG1035" s="93"/>
      <c r="AH1035" s="93"/>
      <c r="AI1035" s="93"/>
      <c r="AJ1035" s="93"/>
      <c r="AK1035" s="93"/>
      <c r="AL1035" s="93"/>
      <c r="AM1035" s="93"/>
      <c r="AN1035" s="93"/>
    </row>
    <row r="1036" spans="22:40" hidden="1"/>
    <row r="1037" spans="22:40" hidden="1">
      <c r="W1037" s="94"/>
      <c r="X1037" s="94"/>
      <c r="Y1037" s="95"/>
      <c r="AA1037" s="94"/>
      <c r="AD1037" s="94"/>
    </row>
    <row r="1038" spans="22:40" hidden="1">
      <c r="W1038" s="94"/>
      <c r="X1038" s="94"/>
      <c r="Y1038" s="95"/>
      <c r="AA1038" s="94"/>
      <c r="AD1038" s="94"/>
    </row>
    <row r="1039" spans="22:40" hidden="1">
      <c r="W1039" s="94"/>
      <c r="X1039" s="94"/>
      <c r="Y1039" s="95"/>
      <c r="AA1039" s="94"/>
      <c r="AE1039" s="94"/>
      <c r="AF1039" s="94"/>
      <c r="AG1039" s="94"/>
      <c r="AH1039" s="94"/>
      <c r="AI1039" s="94"/>
      <c r="AJ1039" s="94"/>
      <c r="AK1039" s="94"/>
      <c r="AL1039" s="94"/>
      <c r="AM1039" s="94"/>
      <c r="AN1039" s="94"/>
    </row>
    <row r="1040" spans="22:40" hidden="1">
      <c r="W1040" s="94"/>
      <c r="X1040" s="94"/>
      <c r="Y1040" s="95"/>
      <c r="AA1040" s="94"/>
      <c r="AE1040" s="94"/>
      <c r="AF1040" s="94"/>
      <c r="AG1040" s="94"/>
      <c r="AH1040" s="94"/>
      <c r="AI1040" s="94"/>
      <c r="AJ1040" s="94"/>
      <c r="AK1040" s="94"/>
      <c r="AL1040" s="94"/>
      <c r="AM1040" s="94"/>
      <c r="AN1040" s="94"/>
    </row>
    <row r="1041" spans="22:40" hidden="1">
      <c r="W1041" s="94"/>
      <c r="X1041" s="94"/>
      <c r="Y1041" s="95"/>
      <c r="AA1041" s="94"/>
      <c r="AE1041" s="94"/>
      <c r="AF1041" s="94"/>
      <c r="AG1041" s="94"/>
      <c r="AH1041" s="94"/>
      <c r="AI1041" s="94"/>
      <c r="AJ1041" s="94"/>
      <c r="AK1041" s="94"/>
      <c r="AL1041" s="94"/>
      <c r="AM1041" s="94"/>
      <c r="AN1041" s="94"/>
    </row>
    <row r="1042" spans="22:40">
      <c r="W1042" s="94"/>
      <c r="X1042" s="94"/>
      <c r="Y1042" s="95"/>
      <c r="AA1042" s="94"/>
    </row>
    <row r="1043" spans="22:40">
      <c r="W1043" s="94"/>
      <c r="X1043" s="94"/>
      <c r="Y1043" s="95"/>
      <c r="AA1043" s="94"/>
      <c r="AD1043" s="94"/>
      <c r="AE1043" s="94"/>
      <c r="AF1043" s="94"/>
      <c r="AG1043" s="94"/>
      <c r="AH1043" s="94"/>
      <c r="AI1043" s="94"/>
      <c r="AJ1043" s="94"/>
      <c r="AK1043" s="94"/>
      <c r="AL1043" s="94"/>
      <c r="AM1043" s="94"/>
      <c r="AN1043" s="94"/>
    </row>
    <row r="1044" spans="22:40">
      <c r="W1044" s="94"/>
      <c r="X1044" s="94"/>
      <c r="Y1044" s="95"/>
      <c r="AA1044" s="94"/>
    </row>
    <row r="1045" spans="22:40">
      <c r="W1045" s="94"/>
      <c r="X1045" s="94"/>
      <c r="Y1045" s="95"/>
      <c r="AA1045" s="94"/>
    </row>
    <row r="1046" spans="22:40">
      <c r="W1046" s="94"/>
      <c r="X1046" s="94"/>
      <c r="Y1046" s="95"/>
      <c r="AA1046" s="94"/>
    </row>
    <row r="1047" spans="22:40">
      <c r="V1047" s="91"/>
    </row>
    <row r="1049" spans="22:40">
      <c r="V1049" s="36"/>
      <c r="W1049" s="36"/>
      <c r="X1049" s="36"/>
      <c r="Y1049" s="36"/>
      <c r="Z1049" s="36"/>
      <c r="AA1049" s="36"/>
    </row>
    <row r="1051" spans="22:40">
      <c r="W1051" s="96"/>
      <c r="X1051" s="96"/>
      <c r="Y1051" s="95"/>
      <c r="AA1051" s="94"/>
    </row>
    <row r="1052" spans="22:40">
      <c r="W1052" s="96"/>
      <c r="X1052" s="96"/>
      <c r="Y1052" s="95"/>
      <c r="AA1052" s="94"/>
    </row>
    <row r="1053" spans="22:40">
      <c r="W1053" s="96"/>
      <c r="X1053" s="96"/>
      <c r="Y1053" s="95"/>
      <c r="AA1053" s="94"/>
    </row>
    <row r="1054" spans="22:40">
      <c r="W1054" s="96"/>
      <c r="X1054" s="96"/>
      <c r="Y1054" s="95"/>
      <c r="AA1054" s="94"/>
    </row>
    <row r="1055" spans="22:40">
      <c r="W1055" s="96"/>
      <c r="X1055" s="96"/>
      <c r="Y1055" s="95"/>
      <c r="AA1055" s="94"/>
    </row>
    <row r="1056" spans="22:40">
      <c r="W1056" s="96"/>
      <c r="X1056" s="96"/>
      <c r="Y1056" s="95"/>
      <c r="AA1056" s="94"/>
    </row>
    <row r="1057" spans="23:27">
      <c r="W1057" s="96"/>
      <c r="X1057" s="96"/>
      <c r="Y1057" s="95"/>
      <c r="AA1057" s="94"/>
    </row>
    <row r="1058" spans="23:27">
      <c r="W1058" s="96"/>
      <c r="X1058" s="96"/>
      <c r="Y1058" s="95"/>
      <c r="AA1058" s="94"/>
    </row>
    <row r="1059" spans="23:27">
      <c r="W1059" s="96"/>
      <c r="X1059" s="96"/>
      <c r="Y1059" s="95"/>
      <c r="AA1059" s="94"/>
    </row>
    <row r="1060" spans="23:27">
      <c r="W1060" s="96"/>
      <c r="X1060" s="96"/>
      <c r="Y1060" s="95"/>
      <c r="AA1060" s="94"/>
    </row>
    <row r="1061" spans="23:27">
      <c r="W1061" s="96"/>
      <c r="X1061" s="96"/>
      <c r="Y1061" s="95"/>
      <c r="AA1061" s="94"/>
    </row>
    <row r="1062" spans="23:27">
      <c r="W1062" s="96"/>
      <c r="X1062" s="96"/>
      <c r="Y1062" s="95"/>
      <c r="AA1062" s="94"/>
    </row>
    <row r="1063" spans="23:27">
      <c r="W1063" s="96"/>
      <c r="X1063" s="96"/>
      <c r="Y1063" s="95"/>
      <c r="AA1063" s="94"/>
    </row>
    <row r="1064" spans="23:27" hidden="1">
      <c r="W1064" s="96"/>
      <c r="X1064" s="96"/>
      <c r="Y1064" s="95"/>
      <c r="AA1064" s="94"/>
    </row>
    <row r="1065" spans="23:27" hidden="1">
      <c r="W1065" s="96"/>
      <c r="X1065" s="96"/>
      <c r="Y1065" s="95"/>
      <c r="AA1065" s="94"/>
    </row>
    <row r="1066" spans="23:27" hidden="1">
      <c r="W1066" s="96"/>
      <c r="X1066" s="96"/>
      <c r="Y1066" s="95"/>
      <c r="AA1066" s="94"/>
    </row>
    <row r="1067" spans="23:27" hidden="1">
      <c r="W1067" s="96"/>
      <c r="X1067" s="96"/>
      <c r="Y1067" s="95"/>
      <c r="AA1067" s="94"/>
    </row>
    <row r="1068" spans="23:27" hidden="1">
      <c r="W1068" s="96"/>
      <c r="X1068" s="96"/>
      <c r="Y1068" s="95"/>
      <c r="AA1068" s="94"/>
    </row>
    <row r="1069" spans="23:27" hidden="1">
      <c r="W1069" s="96"/>
      <c r="X1069" s="96"/>
      <c r="Y1069" s="95"/>
      <c r="AA1069" s="94"/>
    </row>
    <row r="1070" spans="23:27" hidden="1">
      <c r="W1070" s="96"/>
      <c r="X1070" s="96"/>
      <c r="Y1070" s="95"/>
      <c r="AA1070" s="94"/>
    </row>
    <row r="1071" spans="23:27" hidden="1">
      <c r="W1071" s="96"/>
      <c r="X1071" s="96"/>
      <c r="Y1071" s="95"/>
      <c r="AA1071" s="94"/>
    </row>
    <row r="1072" spans="23:27" hidden="1">
      <c r="W1072" s="96"/>
      <c r="X1072" s="96"/>
      <c r="Y1072" s="95"/>
      <c r="AA1072" s="94"/>
    </row>
    <row r="1073" spans="23:27" hidden="1">
      <c r="W1073" s="96"/>
      <c r="X1073" s="96"/>
      <c r="Y1073" s="95"/>
      <c r="AA1073" s="94"/>
    </row>
    <row r="1074" spans="23:27" hidden="1">
      <c r="W1074" s="96"/>
      <c r="X1074" s="96"/>
      <c r="Y1074" s="95"/>
      <c r="AA1074" s="94"/>
    </row>
    <row r="1075" spans="23:27" hidden="1">
      <c r="W1075" s="96"/>
      <c r="X1075" s="96"/>
      <c r="Y1075" s="95"/>
      <c r="AA1075" s="94"/>
    </row>
    <row r="1076" spans="23:27" hidden="1">
      <c r="W1076" s="96"/>
      <c r="X1076" s="96"/>
      <c r="Y1076" s="95"/>
      <c r="AA1076" s="94"/>
    </row>
    <row r="1077" spans="23:27" hidden="1">
      <c r="W1077" s="96"/>
      <c r="X1077" s="96"/>
      <c r="Y1077" s="95"/>
      <c r="AA1077" s="94"/>
    </row>
    <row r="1078" spans="23:27" hidden="1">
      <c r="W1078" s="96"/>
      <c r="X1078" s="96"/>
      <c r="Y1078" s="95"/>
      <c r="AA1078" s="94"/>
    </row>
    <row r="1079" spans="23:27" hidden="1">
      <c r="W1079" s="96"/>
      <c r="X1079" s="96"/>
      <c r="Y1079" s="95"/>
      <c r="AA1079" s="94"/>
    </row>
    <row r="1080" spans="23:27" hidden="1">
      <c r="W1080" s="96"/>
      <c r="X1080" s="96"/>
      <c r="Y1080" s="95"/>
      <c r="AA1080" s="94"/>
    </row>
    <row r="1081" spans="23:27" hidden="1">
      <c r="W1081" s="96"/>
      <c r="X1081" s="96"/>
      <c r="Y1081" s="95"/>
      <c r="AA1081" s="94"/>
    </row>
    <row r="1082" spans="23:27" hidden="1">
      <c r="W1082" s="96"/>
      <c r="X1082" s="96"/>
      <c r="Y1082" s="95"/>
      <c r="AA1082" s="94"/>
    </row>
    <row r="1083" spans="23:27" hidden="1">
      <c r="W1083" s="96"/>
      <c r="X1083" s="96"/>
      <c r="Y1083" s="95"/>
      <c r="AA1083" s="94"/>
    </row>
    <row r="1084" spans="23:27" hidden="1">
      <c r="W1084" s="96"/>
      <c r="X1084" s="96"/>
      <c r="Y1084" s="95"/>
      <c r="AA1084" s="94"/>
    </row>
    <row r="1085" spans="23:27" hidden="1">
      <c r="W1085" s="96"/>
      <c r="X1085" s="96"/>
      <c r="Y1085" s="95"/>
      <c r="AA1085" s="94"/>
    </row>
    <row r="1086" spans="23:27" hidden="1">
      <c r="W1086" s="96"/>
      <c r="X1086" s="96"/>
      <c r="Y1086" s="95"/>
      <c r="AA1086" s="94"/>
    </row>
    <row r="1087" spans="23:27" hidden="1">
      <c r="W1087" s="96"/>
      <c r="X1087" s="96"/>
      <c r="Y1087" s="95"/>
      <c r="AA1087" s="94"/>
    </row>
    <row r="1088" spans="23:27" hidden="1">
      <c r="W1088" s="96"/>
      <c r="X1088" s="96"/>
      <c r="Y1088" s="95"/>
      <c r="AA1088" s="94"/>
    </row>
    <row r="1089" spans="23:27" hidden="1">
      <c r="W1089" s="96"/>
      <c r="X1089" s="96"/>
      <c r="Y1089" s="95"/>
      <c r="AA1089" s="94"/>
    </row>
    <row r="1090" spans="23:27" hidden="1">
      <c r="W1090" s="96"/>
      <c r="X1090" s="96"/>
      <c r="Y1090" s="95"/>
      <c r="AA1090" s="94"/>
    </row>
    <row r="1091" spans="23:27" hidden="1">
      <c r="W1091" s="96"/>
      <c r="X1091" s="96"/>
      <c r="Y1091" s="95"/>
      <c r="AA1091" s="94"/>
    </row>
    <row r="1092" spans="23:27" hidden="1">
      <c r="W1092" s="96"/>
      <c r="X1092" s="96"/>
      <c r="Y1092" s="95"/>
      <c r="AA1092" s="94"/>
    </row>
    <row r="1093" spans="23:27" hidden="1">
      <c r="W1093" s="96"/>
      <c r="X1093" s="96"/>
      <c r="Y1093" s="95"/>
      <c r="AA1093" s="94"/>
    </row>
    <row r="1094" spans="23:27" hidden="1">
      <c r="W1094" s="96"/>
      <c r="X1094" s="96"/>
      <c r="Y1094" s="95"/>
      <c r="AA1094" s="94"/>
    </row>
    <row r="1095" spans="23:27" hidden="1">
      <c r="W1095" s="96"/>
      <c r="X1095" s="96"/>
      <c r="Y1095" s="95"/>
      <c r="AA1095" s="94"/>
    </row>
    <row r="1096" spans="23:27" hidden="1">
      <c r="W1096" s="96"/>
      <c r="X1096" s="96"/>
      <c r="Y1096" s="95"/>
      <c r="AA1096" s="94"/>
    </row>
    <row r="1097" spans="23:27" hidden="1">
      <c r="W1097" s="96"/>
      <c r="X1097" s="96"/>
      <c r="Y1097" s="95"/>
      <c r="AA1097" s="94"/>
    </row>
    <row r="1098" spans="23:27" hidden="1">
      <c r="W1098" s="96"/>
      <c r="X1098" s="96"/>
      <c r="Y1098" s="95"/>
      <c r="AA1098" s="94"/>
    </row>
    <row r="1099" spans="23:27" hidden="1">
      <c r="W1099" s="96"/>
      <c r="X1099" s="96"/>
      <c r="Y1099" s="95"/>
      <c r="AA1099" s="94"/>
    </row>
    <row r="1100" spans="23:27" hidden="1">
      <c r="W1100" s="96"/>
      <c r="X1100" s="96"/>
      <c r="Y1100" s="95"/>
      <c r="AA1100" s="94"/>
    </row>
    <row r="1101" spans="23:27" hidden="1">
      <c r="W1101" s="96"/>
      <c r="X1101" s="96"/>
      <c r="Y1101" s="95"/>
      <c r="AA1101" s="94"/>
    </row>
    <row r="1102" spans="23:27" hidden="1">
      <c r="W1102" s="96"/>
      <c r="X1102" s="96"/>
      <c r="Y1102" s="95"/>
      <c r="AA1102" s="94"/>
    </row>
    <row r="1103" spans="23:27" hidden="1">
      <c r="W1103" s="96"/>
      <c r="X1103" s="96"/>
      <c r="Y1103" s="95"/>
      <c r="AA1103" s="94"/>
    </row>
    <row r="1104" spans="23:27" hidden="1">
      <c r="W1104" s="96"/>
      <c r="X1104" s="96"/>
      <c r="Y1104" s="95"/>
      <c r="AA1104" s="94"/>
    </row>
    <row r="1105" spans="23:27" hidden="1">
      <c r="W1105" s="96"/>
      <c r="X1105" s="96"/>
      <c r="Y1105" s="95"/>
      <c r="AA1105" s="94"/>
    </row>
    <row r="1106" spans="23:27" hidden="1">
      <c r="W1106" s="96"/>
      <c r="X1106" s="96"/>
      <c r="Y1106" s="95"/>
      <c r="AA1106" s="94"/>
    </row>
    <row r="1107" spans="23:27" hidden="1">
      <c r="W1107" s="96"/>
      <c r="X1107" s="96"/>
      <c r="Y1107" s="95"/>
      <c r="AA1107" s="94"/>
    </row>
    <row r="1108" spans="23:27" hidden="1">
      <c r="W1108" s="96"/>
      <c r="X1108" s="96"/>
      <c r="Y1108" s="95"/>
      <c r="AA1108" s="94"/>
    </row>
    <row r="1109" spans="23:27" hidden="1">
      <c r="W1109" s="96"/>
      <c r="X1109" s="96"/>
      <c r="Y1109" s="95"/>
      <c r="AA1109" s="94"/>
    </row>
    <row r="1110" spans="23:27" hidden="1">
      <c r="W1110" s="96"/>
      <c r="X1110" s="96"/>
      <c r="Y1110" s="95"/>
      <c r="AA1110" s="94"/>
    </row>
    <row r="1111" spans="23:27" hidden="1">
      <c r="W1111" s="96"/>
      <c r="X1111" s="96"/>
      <c r="Y1111" s="95"/>
      <c r="AA1111" s="94"/>
    </row>
    <row r="1112" spans="23:27" hidden="1">
      <c r="W1112" s="96"/>
      <c r="X1112" s="96"/>
      <c r="Y1112" s="95"/>
      <c r="AA1112" s="94"/>
    </row>
    <row r="1113" spans="23:27" hidden="1">
      <c r="W1113" s="96"/>
      <c r="X1113" s="96"/>
      <c r="Y1113" s="95"/>
      <c r="AA1113" s="94"/>
    </row>
    <row r="1114" spans="23:27" hidden="1">
      <c r="W1114" s="96"/>
      <c r="X1114" s="96"/>
      <c r="Y1114" s="95"/>
      <c r="AA1114" s="94"/>
    </row>
    <row r="1115" spans="23:27" hidden="1">
      <c r="W1115" s="96"/>
      <c r="X1115" s="96"/>
      <c r="Y1115" s="95"/>
      <c r="AA1115" s="94"/>
    </row>
    <row r="1116" spans="23:27" hidden="1">
      <c r="W1116" s="96"/>
      <c r="X1116" s="96"/>
      <c r="Y1116" s="95"/>
      <c r="AA1116" s="94"/>
    </row>
    <row r="1117" spans="23:27" hidden="1">
      <c r="W1117" s="96"/>
      <c r="X1117" s="96"/>
      <c r="Y1117" s="95"/>
      <c r="AA1117" s="94"/>
    </row>
    <row r="1118" spans="23:27" hidden="1">
      <c r="W1118" s="96"/>
      <c r="X1118" s="96"/>
      <c r="Y1118" s="95"/>
      <c r="AA1118" s="94"/>
    </row>
    <row r="1119" spans="23:27" hidden="1">
      <c r="W1119" s="96"/>
      <c r="X1119" s="96"/>
      <c r="Y1119" s="95"/>
      <c r="AA1119" s="94"/>
    </row>
    <row r="1120" spans="23:27" hidden="1">
      <c r="W1120" s="96"/>
      <c r="X1120" s="96"/>
      <c r="Y1120" s="95"/>
      <c r="AA1120" s="94"/>
    </row>
    <row r="1121" spans="23:27" hidden="1">
      <c r="W1121" s="96"/>
      <c r="X1121" s="96"/>
      <c r="Y1121" s="95"/>
      <c r="AA1121" s="94"/>
    </row>
    <row r="1122" spans="23:27" hidden="1">
      <c r="W1122" s="96"/>
      <c r="X1122" s="96"/>
      <c r="Y1122" s="95"/>
      <c r="AA1122" s="94"/>
    </row>
    <row r="1123" spans="23:27" hidden="1">
      <c r="W1123" s="96"/>
      <c r="X1123" s="96"/>
      <c r="Y1123" s="95"/>
      <c r="AA1123" s="94"/>
    </row>
    <row r="1124" spans="23:27" hidden="1">
      <c r="W1124" s="96"/>
      <c r="X1124" s="96"/>
      <c r="Y1124" s="95"/>
      <c r="AA1124" s="94"/>
    </row>
    <row r="1125" spans="23:27" hidden="1">
      <c r="W1125" s="96"/>
      <c r="X1125" s="96"/>
      <c r="Y1125" s="95"/>
      <c r="AA1125" s="94"/>
    </row>
    <row r="1126" spans="23:27" hidden="1">
      <c r="W1126" s="96"/>
      <c r="X1126" s="96"/>
      <c r="Y1126" s="95"/>
      <c r="AA1126" s="94"/>
    </row>
    <row r="1127" spans="23:27" hidden="1">
      <c r="W1127" s="96"/>
      <c r="X1127" s="96"/>
      <c r="Y1127" s="95"/>
      <c r="AA1127" s="94"/>
    </row>
    <row r="1128" spans="23:27" hidden="1">
      <c r="W1128" s="96"/>
      <c r="X1128" s="96"/>
      <c r="Y1128" s="95"/>
      <c r="AA1128" s="94"/>
    </row>
    <row r="1129" spans="23:27" hidden="1">
      <c r="W1129" s="96"/>
      <c r="X1129" s="96"/>
      <c r="Y1129" s="95"/>
      <c r="AA1129" s="94"/>
    </row>
    <row r="1130" spans="23:27" hidden="1">
      <c r="W1130" s="96"/>
      <c r="X1130" s="96"/>
      <c r="Y1130" s="95"/>
      <c r="AA1130" s="94"/>
    </row>
    <row r="1131" spans="23:27" hidden="1">
      <c r="W1131" s="96"/>
      <c r="X1131" s="96"/>
      <c r="Y1131" s="95"/>
      <c r="AA1131" s="94"/>
    </row>
    <row r="1132" spans="23:27" hidden="1">
      <c r="W1132" s="96"/>
      <c r="X1132" s="96"/>
      <c r="Y1132" s="95"/>
      <c r="AA1132" s="94"/>
    </row>
    <row r="1133" spans="23:27" hidden="1">
      <c r="W1133" s="96"/>
      <c r="X1133" s="96"/>
      <c r="Y1133" s="95"/>
      <c r="AA1133" s="94"/>
    </row>
    <row r="1134" spans="23:27" hidden="1">
      <c r="W1134" s="96"/>
      <c r="X1134" s="96"/>
      <c r="Y1134" s="95"/>
      <c r="AA1134" s="94"/>
    </row>
    <row r="1135" spans="23:27" hidden="1">
      <c r="W1135" s="96"/>
      <c r="X1135" s="96"/>
      <c r="Y1135" s="95"/>
      <c r="AA1135" s="94"/>
    </row>
    <row r="1136" spans="23:27" hidden="1">
      <c r="W1136" s="96"/>
      <c r="X1136" s="96"/>
      <c r="Y1136" s="95"/>
      <c r="AA1136" s="94"/>
    </row>
    <row r="1137" spans="23:27" hidden="1">
      <c r="W1137" s="96"/>
      <c r="X1137" s="96"/>
      <c r="Y1137" s="95"/>
      <c r="AA1137" s="94"/>
    </row>
    <row r="1138" spans="23:27" hidden="1">
      <c r="W1138" s="96"/>
      <c r="X1138" s="96"/>
      <c r="Y1138" s="95"/>
      <c r="AA1138" s="94"/>
    </row>
    <row r="1139" spans="23:27" hidden="1">
      <c r="W1139" s="96"/>
      <c r="X1139" s="96"/>
      <c r="Y1139" s="95"/>
      <c r="AA1139" s="94"/>
    </row>
    <row r="1140" spans="23:27" hidden="1">
      <c r="W1140" s="96"/>
      <c r="X1140" s="96"/>
      <c r="Y1140" s="95"/>
      <c r="AA1140" s="94"/>
    </row>
    <row r="1141" spans="23:27" hidden="1">
      <c r="W1141" s="96"/>
      <c r="X1141" s="96"/>
      <c r="Y1141" s="95"/>
      <c r="AA1141" s="94"/>
    </row>
    <row r="1142" spans="23:27" hidden="1">
      <c r="W1142" s="96"/>
      <c r="X1142" s="96"/>
      <c r="Y1142" s="95"/>
      <c r="AA1142" s="94"/>
    </row>
    <row r="1143" spans="23:27" hidden="1">
      <c r="W1143" s="96"/>
      <c r="X1143" s="96"/>
      <c r="Y1143" s="95"/>
      <c r="AA1143" s="94"/>
    </row>
    <row r="1144" spans="23:27" hidden="1">
      <c r="W1144" s="96"/>
      <c r="X1144" s="96"/>
      <c r="Y1144" s="95"/>
      <c r="AA1144" s="94"/>
    </row>
    <row r="1145" spans="23:27" hidden="1">
      <c r="W1145" s="96"/>
      <c r="X1145" s="96"/>
      <c r="Y1145" s="95"/>
      <c r="AA1145" s="94"/>
    </row>
    <row r="1146" spans="23:27" hidden="1">
      <c r="W1146" s="96"/>
      <c r="X1146" s="96"/>
      <c r="Y1146" s="95"/>
      <c r="AA1146" s="94"/>
    </row>
    <row r="1147" spans="23:27" hidden="1">
      <c r="W1147" s="96"/>
      <c r="X1147" s="96"/>
      <c r="Y1147" s="95"/>
      <c r="AA1147" s="94"/>
    </row>
    <row r="1148" spans="23:27" hidden="1">
      <c r="W1148" s="96"/>
      <c r="X1148" s="96"/>
      <c r="Y1148" s="95"/>
      <c r="AA1148" s="94"/>
    </row>
    <row r="1149" spans="23:27" hidden="1">
      <c r="W1149" s="96"/>
      <c r="X1149" s="96"/>
      <c r="Y1149" s="95"/>
      <c r="AA1149" s="94"/>
    </row>
    <row r="1150" spans="23:27" hidden="1">
      <c r="W1150" s="96"/>
      <c r="X1150" s="96"/>
      <c r="Y1150" s="95"/>
      <c r="AA1150" s="94"/>
    </row>
    <row r="1151" spans="23:27" hidden="1">
      <c r="W1151" s="96"/>
      <c r="X1151" s="96"/>
      <c r="Y1151" s="95"/>
      <c r="AA1151" s="94"/>
    </row>
    <row r="1152" spans="23:27" hidden="1">
      <c r="W1152" s="96"/>
      <c r="X1152" s="96"/>
      <c r="Y1152" s="95"/>
      <c r="AA1152" s="94"/>
    </row>
    <row r="1153" spans="23:27" hidden="1">
      <c r="W1153" s="96"/>
      <c r="X1153" s="96"/>
      <c r="Y1153" s="95"/>
      <c r="AA1153" s="94"/>
    </row>
    <row r="1154" spans="23:27" hidden="1">
      <c r="W1154" s="96"/>
      <c r="X1154" s="96"/>
      <c r="Y1154" s="95"/>
      <c r="AA1154" s="94"/>
    </row>
    <row r="1155" spans="23:27" hidden="1">
      <c r="W1155" s="96"/>
      <c r="X1155" s="96"/>
      <c r="Y1155" s="95"/>
      <c r="AA1155" s="94"/>
    </row>
    <row r="1156" spans="23:27" hidden="1">
      <c r="W1156" s="96"/>
      <c r="X1156" s="96"/>
      <c r="Y1156" s="95"/>
      <c r="AA1156" s="94"/>
    </row>
    <row r="1157" spans="23:27" hidden="1">
      <c r="W1157" s="96"/>
      <c r="X1157" s="96"/>
      <c r="Y1157" s="95"/>
      <c r="AA1157" s="94"/>
    </row>
    <row r="1158" spans="23:27" hidden="1">
      <c r="W1158" s="96"/>
      <c r="X1158" s="96"/>
      <c r="Y1158" s="95"/>
      <c r="AA1158" s="94"/>
    </row>
    <row r="1159" spans="23:27" hidden="1">
      <c r="W1159" s="96"/>
      <c r="X1159" s="96"/>
      <c r="Y1159" s="95"/>
      <c r="AA1159" s="94"/>
    </row>
    <row r="1160" spans="23:27" hidden="1">
      <c r="W1160" s="96"/>
      <c r="X1160" s="96"/>
      <c r="Y1160" s="95"/>
      <c r="AA1160" s="94"/>
    </row>
    <row r="1161" spans="23:27" hidden="1">
      <c r="W1161" s="96"/>
      <c r="X1161" s="96"/>
      <c r="Y1161" s="95"/>
      <c r="AA1161" s="94"/>
    </row>
    <row r="1162" spans="23:27" hidden="1">
      <c r="W1162" s="96"/>
      <c r="X1162" s="96"/>
      <c r="Y1162" s="95"/>
      <c r="AA1162" s="94"/>
    </row>
    <row r="1163" spans="23:27" hidden="1">
      <c r="W1163" s="96"/>
      <c r="X1163" s="96"/>
      <c r="Y1163" s="95"/>
      <c r="AA1163" s="94"/>
    </row>
    <row r="1164" spans="23:27" hidden="1">
      <c r="W1164" s="96"/>
      <c r="X1164" s="96"/>
      <c r="Y1164" s="95"/>
      <c r="AA1164" s="94"/>
    </row>
    <row r="1165" spans="23:27" hidden="1">
      <c r="W1165" s="96"/>
      <c r="X1165" s="96"/>
      <c r="Y1165" s="95"/>
      <c r="AA1165" s="94"/>
    </row>
    <row r="1166" spans="23:27" hidden="1">
      <c r="W1166" s="96"/>
      <c r="X1166" s="96"/>
      <c r="Y1166" s="95"/>
      <c r="AA1166" s="94"/>
    </row>
    <row r="1167" spans="23:27" hidden="1">
      <c r="W1167" s="96"/>
      <c r="X1167" s="96"/>
      <c r="Y1167" s="95"/>
      <c r="AA1167" s="94"/>
    </row>
    <row r="1168" spans="23:27" hidden="1">
      <c r="W1168" s="96"/>
      <c r="X1168" s="96"/>
      <c r="Y1168" s="95"/>
      <c r="AA1168" s="94"/>
    </row>
    <row r="1169" spans="22:40" hidden="1">
      <c r="W1169" s="96"/>
      <c r="X1169" s="96"/>
      <c r="Y1169" s="95"/>
      <c r="AA1169" s="94"/>
    </row>
    <row r="1170" spans="22:40" hidden="1">
      <c r="W1170" s="96"/>
      <c r="X1170" s="96"/>
      <c r="Y1170" s="95"/>
      <c r="AA1170" s="94"/>
    </row>
    <row r="1171" spans="22:40" hidden="1"/>
    <row r="1172" spans="22:40" hidden="1"/>
    <row r="1173" spans="22:40" hidden="1">
      <c r="W1173" s="35"/>
    </row>
    <row r="1174" spans="22:40" hidden="1">
      <c r="W1174" s="35"/>
    </row>
    <row r="1175" spans="22:40" hidden="1">
      <c r="W1175" s="92"/>
    </row>
    <row r="1176" spans="22:40" hidden="1">
      <c r="W1176" s="92"/>
    </row>
    <row r="1177" spans="22:40" hidden="1"/>
    <row r="1178" spans="22:40" hidden="1">
      <c r="AE1178" s="36"/>
      <c r="AF1178" s="36"/>
      <c r="AG1178" s="36"/>
      <c r="AH1178" s="36"/>
      <c r="AI1178" s="36"/>
      <c r="AJ1178" s="36"/>
      <c r="AK1178" s="36"/>
      <c r="AL1178" s="36"/>
      <c r="AM1178" s="36"/>
      <c r="AN1178" s="36"/>
    </row>
    <row r="1179" spans="22:40" hidden="1">
      <c r="V1179" s="36"/>
      <c r="W1179" s="36"/>
      <c r="X1179" s="36"/>
      <c r="Y1179" s="36"/>
      <c r="Z1179" s="36"/>
      <c r="AA1179" s="36"/>
      <c r="AD1179" s="89"/>
      <c r="AE1179" s="93"/>
      <c r="AF1179" s="93"/>
      <c r="AG1179" s="93"/>
      <c r="AH1179" s="93"/>
      <c r="AI1179" s="93"/>
      <c r="AJ1179" s="93"/>
      <c r="AK1179" s="93"/>
      <c r="AL1179" s="93"/>
      <c r="AM1179" s="93"/>
      <c r="AN1179" s="93"/>
    </row>
    <row r="1180" spans="22:40" hidden="1"/>
    <row r="1181" spans="22:40" hidden="1">
      <c r="W1181" s="94"/>
      <c r="X1181" s="94"/>
      <c r="Y1181" s="95"/>
      <c r="AA1181" s="94"/>
      <c r="AD1181" s="94"/>
    </row>
    <row r="1182" spans="22:40" hidden="1">
      <c r="W1182" s="94"/>
      <c r="X1182" s="94"/>
      <c r="Y1182" s="95"/>
      <c r="AA1182" s="94"/>
      <c r="AD1182" s="94"/>
    </row>
    <row r="1183" spans="22:40" hidden="1">
      <c r="W1183" s="94"/>
      <c r="X1183" s="94"/>
      <c r="Y1183" s="95"/>
      <c r="AA1183" s="94"/>
      <c r="AE1183" s="94"/>
      <c r="AF1183" s="94"/>
      <c r="AG1183" s="94"/>
      <c r="AH1183" s="94"/>
      <c r="AI1183" s="94"/>
      <c r="AJ1183" s="94"/>
      <c r="AK1183" s="94"/>
      <c r="AL1183" s="94"/>
      <c r="AM1183" s="94"/>
      <c r="AN1183" s="94"/>
    </row>
    <row r="1184" spans="22:40" hidden="1">
      <c r="W1184" s="94"/>
      <c r="X1184" s="94"/>
      <c r="Y1184" s="95"/>
      <c r="AA1184" s="94"/>
      <c r="AE1184" s="94"/>
      <c r="AF1184" s="94"/>
      <c r="AG1184" s="94"/>
      <c r="AH1184" s="94"/>
      <c r="AI1184" s="94"/>
      <c r="AJ1184" s="94"/>
      <c r="AK1184" s="94"/>
      <c r="AL1184" s="94"/>
      <c r="AM1184" s="94"/>
      <c r="AN1184" s="94"/>
    </row>
    <row r="1185" spans="22:40" hidden="1">
      <c r="W1185" s="94"/>
      <c r="X1185" s="94"/>
      <c r="Y1185" s="95"/>
      <c r="AA1185" s="94"/>
      <c r="AE1185" s="94"/>
      <c r="AF1185" s="94"/>
      <c r="AG1185" s="94"/>
      <c r="AH1185" s="94"/>
      <c r="AI1185" s="94"/>
      <c r="AJ1185" s="94"/>
      <c r="AK1185" s="94"/>
      <c r="AL1185" s="94"/>
      <c r="AM1185" s="94"/>
      <c r="AN1185" s="94"/>
    </row>
    <row r="1186" spans="22:40">
      <c r="W1186" s="94"/>
      <c r="X1186" s="94"/>
      <c r="Y1186" s="95"/>
      <c r="AA1186" s="94"/>
    </row>
    <row r="1187" spans="22:40">
      <c r="W1187" s="94"/>
      <c r="X1187" s="94"/>
      <c r="Y1187" s="95"/>
      <c r="AA1187" s="94"/>
      <c r="AD1187" s="94"/>
      <c r="AE1187" s="94"/>
      <c r="AF1187" s="94"/>
      <c r="AG1187" s="94"/>
      <c r="AH1187" s="94"/>
      <c r="AI1187" s="94"/>
      <c r="AJ1187" s="94"/>
      <c r="AK1187" s="94"/>
      <c r="AL1187" s="94"/>
      <c r="AM1187" s="94"/>
      <c r="AN1187" s="94"/>
    </row>
    <row r="1188" spans="22:40">
      <c r="W1188" s="94"/>
      <c r="X1188" s="94"/>
      <c r="Y1188" s="95"/>
      <c r="AA1188" s="94"/>
    </row>
    <row r="1189" spans="22:40">
      <c r="W1189" s="94"/>
      <c r="X1189" s="94"/>
      <c r="Y1189" s="95"/>
      <c r="AA1189" s="94"/>
    </row>
    <row r="1190" spans="22:40">
      <c r="W1190" s="94"/>
      <c r="X1190" s="94"/>
      <c r="Y1190" s="95"/>
      <c r="AA1190" s="94"/>
    </row>
    <row r="1191" spans="22:40">
      <c r="V1191" s="91"/>
    </row>
    <row r="1193" spans="22:40">
      <c r="V1193" s="36"/>
      <c r="W1193" s="36"/>
      <c r="X1193" s="36"/>
      <c r="Y1193" s="36"/>
      <c r="Z1193" s="36"/>
      <c r="AA1193" s="36"/>
    </row>
    <row r="1195" spans="22:40">
      <c r="W1195" s="96"/>
      <c r="X1195" s="96"/>
      <c r="Y1195" s="95"/>
      <c r="AA1195" s="94"/>
    </row>
    <row r="1196" spans="22:40">
      <c r="W1196" s="96"/>
      <c r="X1196" s="96"/>
      <c r="Y1196" s="95"/>
      <c r="AA1196" s="94"/>
    </row>
    <row r="1197" spans="22:40">
      <c r="W1197" s="96"/>
      <c r="X1197" s="96"/>
      <c r="Y1197" s="95"/>
      <c r="AA1197" s="94"/>
    </row>
    <row r="1198" spans="22:40">
      <c r="W1198" s="96"/>
      <c r="X1198" s="96"/>
      <c r="Y1198" s="95"/>
      <c r="AA1198" s="94"/>
    </row>
    <row r="1199" spans="22:40">
      <c r="W1199" s="96"/>
      <c r="X1199" s="96"/>
      <c r="Y1199" s="95"/>
      <c r="AA1199" s="94"/>
    </row>
    <row r="1200" spans="22:40">
      <c r="W1200" s="96"/>
      <c r="X1200" s="96"/>
      <c r="Y1200" s="95"/>
      <c r="AA1200" s="94"/>
    </row>
    <row r="1201" spans="23:27">
      <c r="W1201" s="96"/>
      <c r="X1201" s="96"/>
      <c r="Y1201" s="95"/>
      <c r="AA1201" s="94"/>
    </row>
    <row r="1202" spans="23:27">
      <c r="W1202" s="96"/>
      <c r="X1202" s="96"/>
      <c r="Y1202" s="95"/>
      <c r="AA1202" s="94"/>
    </row>
    <row r="1203" spans="23:27">
      <c r="W1203" s="96"/>
      <c r="X1203" s="96"/>
      <c r="Y1203" s="95"/>
      <c r="AA1203" s="94"/>
    </row>
    <row r="1204" spans="23:27">
      <c r="W1204" s="96"/>
      <c r="X1204" s="96"/>
      <c r="Y1204" s="95"/>
      <c r="AA1204" s="94"/>
    </row>
    <row r="1205" spans="23:27">
      <c r="W1205" s="96"/>
      <c r="X1205" s="96"/>
      <c r="Y1205" s="95"/>
      <c r="AA1205" s="94"/>
    </row>
    <row r="1206" spans="23:27">
      <c r="W1206" s="96"/>
      <c r="X1206" s="96"/>
      <c r="Y1206" s="95"/>
      <c r="AA1206" s="94"/>
    </row>
    <row r="1207" spans="23:27">
      <c r="W1207" s="96"/>
      <c r="X1207" s="96"/>
      <c r="Y1207" s="95"/>
      <c r="AA1207" s="94"/>
    </row>
    <row r="1208" spans="23:27" hidden="1">
      <c r="W1208" s="96"/>
      <c r="X1208" s="96"/>
      <c r="Y1208" s="95"/>
      <c r="AA1208" s="94"/>
    </row>
    <row r="1209" spans="23:27" hidden="1">
      <c r="W1209" s="96"/>
      <c r="X1209" s="96"/>
      <c r="Y1209" s="95"/>
      <c r="AA1209" s="94"/>
    </row>
    <row r="1210" spans="23:27" hidden="1">
      <c r="W1210" s="96"/>
      <c r="X1210" s="96"/>
      <c r="Y1210" s="95"/>
      <c r="AA1210" s="94"/>
    </row>
    <row r="1211" spans="23:27" hidden="1">
      <c r="W1211" s="96"/>
      <c r="X1211" s="96"/>
      <c r="Y1211" s="95"/>
      <c r="AA1211" s="94"/>
    </row>
    <row r="1212" spans="23:27" hidden="1">
      <c r="W1212" s="96"/>
      <c r="X1212" s="96"/>
      <c r="Y1212" s="95"/>
      <c r="AA1212" s="94"/>
    </row>
    <row r="1213" spans="23:27" hidden="1">
      <c r="W1213" s="96"/>
      <c r="X1213" s="96"/>
      <c r="Y1213" s="95"/>
      <c r="AA1213" s="94"/>
    </row>
    <row r="1214" spans="23:27" hidden="1">
      <c r="W1214" s="96"/>
      <c r="X1214" s="96"/>
      <c r="Y1214" s="95"/>
      <c r="AA1214" s="94"/>
    </row>
    <row r="1215" spans="23:27" hidden="1">
      <c r="W1215" s="96"/>
      <c r="X1215" s="96"/>
      <c r="Y1215" s="95"/>
      <c r="AA1215" s="94"/>
    </row>
    <row r="1216" spans="23:27" hidden="1">
      <c r="W1216" s="96"/>
      <c r="X1216" s="96"/>
      <c r="Y1216" s="95"/>
      <c r="AA1216" s="94"/>
    </row>
    <row r="1217" spans="23:27" hidden="1">
      <c r="W1217" s="96"/>
      <c r="X1217" s="96"/>
      <c r="Y1217" s="95"/>
      <c r="AA1217" s="94"/>
    </row>
    <row r="1218" spans="23:27" hidden="1">
      <c r="W1218" s="96"/>
      <c r="X1218" s="96"/>
      <c r="Y1218" s="95"/>
      <c r="AA1218" s="94"/>
    </row>
    <row r="1219" spans="23:27" hidden="1">
      <c r="W1219" s="96"/>
      <c r="X1219" s="96"/>
      <c r="Y1219" s="95"/>
      <c r="AA1219" s="94"/>
    </row>
    <row r="1220" spans="23:27" hidden="1">
      <c r="W1220" s="96"/>
      <c r="X1220" s="96"/>
      <c r="Y1220" s="95"/>
      <c r="AA1220" s="94"/>
    </row>
    <row r="1221" spans="23:27" hidden="1">
      <c r="W1221" s="96"/>
      <c r="X1221" s="96"/>
      <c r="Y1221" s="95"/>
      <c r="AA1221" s="94"/>
    </row>
    <row r="1222" spans="23:27" hidden="1">
      <c r="W1222" s="96"/>
      <c r="X1222" s="96"/>
      <c r="Y1222" s="95"/>
      <c r="AA1222" s="94"/>
    </row>
    <row r="1223" spans="23:27" hidden="1">
      <c r="W1223" s="96"/>
      <c r="X1223" s="96"/>
      <c r="Y1223" s="95"/>
      <c r="AA1223" s="94"/>
    </row>
    <row r="1224" spans="23:27" hidden="1">
      <c r="W1224" s="96"/>
      <c r="X1224" s="96"/>
      <c r="Y1224" s="95"/>
      <c r="AA1224" s="94"/>
    </row>
    <row r="1225" spans="23:27" hidden="1">
      <c r="W1225" s="96"/>
      <c r="X1225" s="96"/>
      <c r="Y1225" s="95"/>
      <c r="AA1225" s="94"/>
    </row>
    <row r="1226" spans="23:27" hidden="1">
      <c r="W1226" s="96"/>
      <c r="X1226" s="96"/>
      <c r="Y1226" s="95"/>
      <c r="AA1226" s="94"/>
    </row>
    <row r="1227" spans="23:27" hidden="1">
      <c r="W1227" s="96"/>
      <c r="X1227" s="96"/>
      <c r="Y1227" s="95"/>
      <c r="AA1227" s="94"/>
    </row>
    <row r="1228" spans="23:27" hidden="1">
      <c r="W1228" s="96"/>
      <c r="X1228" s="96"/>
      <c r="Y1228" s="95"/>
      <c r="AA1228" s="94"/>
    </row>
    <row r="1229" spans="23:27" hidden="1">
      <c r="W1229" s="96"/>
      <c r="X1229" s="96"/>
      <c r="Y1229" s="95"/>
      <c r="AA1229" s="94"/>
    </row>
    <row r="1230" spans="23:27" hidden="1">
      <c r="W1230" s="96"/>
      <c r="X1230" s="96"/>
      <c r="Y1230" s="95"/>
      <c r="AA1230" s="94"/>
    </row>
    <row r="1231" spans="23:27" hidden="1">
      <c r="W1231" s="96"/>
      <c r="X1231" s="96"/>
      <c r="Y1231" s="95"/>
      <c r="AA1231" s="94"/>
    </row>
    <row r="1232" spans="23:27" hidden="1">
      <c r="W1232" s="96"/>
      <c r="X1232" s="96"/>
      <c r="Y1232" s="95"/>
      <c r="AA1232" s="94"/>
    </row>
    <row r="1233" spans="23:27" hidden="1">
      <c r="W1233" s="96"/>
      <c r="X1233" s="96"/>
      <c r="Y1233" s="95"/>
      <c r="AA1233" s="94"/>
    </row>
    <row r="1234" spans="23:27" hidden="1">
      <c r="W1234" s="96"/>
      <c r="X1234" s="96"/>
      <c r="Y1234" s="95"/>
      <c r="AA1234" s="94"/>
    </row>
    <row r="1235" spans="23:27" hidden="1">
      <c r="W1235" s="96"/>
      <c r="X1235" s="96"/>
      <c r="Y1235" s="95"/>
      <c r="AA1235" s="94"/>
    </row>
    <row r="1236" spans="23:27" hidden="1">
      <c r="W1236" s="96"/>
      <c r="X1236" s="96"/>
      <c r="Y1236" s="95"/>
      <c r="AA1236" s="94"/>
    </row>
    <row r="1237" spans="23:27" hidden="1">
      <c r="W1237" s="96"/>
      <c r="X1237" s="96"/>
      <c r="Y1237" s="95"/>
      <c r="AA1237" s="94"/>
    </row>
    <row r="1238" spans="23:27" hidden="1">
      <c r="W1238" s="96"/>
      <c r="X1238" s="96"/>
      <c r="Y1238" s="95"/>
      <c r="AA1238" s="94"/>
    </row>
    <row r="1239" spans="23:27" hidden="1">
      <c r="W1239" s="96"/>
      <c r="X1239" s="96"/>
      <c r="Y1239" s="95"/>
      <c r="AA1239" s="94"/>
    </row>
    <row r="1240" spans="23:27" hidden="1">
      <c r="W1240" s="96"/>
      <c r="X1240" s="96"/>
      <c r="Y1240" s="95"/>
      <c r="AA1240" s="94"/>
    </row>
    <row r="1241" spans="23:27" hidden="1">
      <c r="W1241" s="96"/>
      <c r="X1241" s="96"/>
      <c r="Y1241" s="95"/>
      <c r="AA1241" s="94"/>
    </row>
    <row r="1242" spans="23:27" hidden="1">
      <c r="W1242" s="96"/>
      <c r="X1242" s="96"/>
      <c r="Y1242" s="95"/>
      <c r="AA1242" s="94"/>
    </row>
    <row r="1243" spans="23:27" hidden="1">
      <c r="W1243" s="96"/>
      <c r="X1243" s="96"/>
      <c r="Y1243" s="95"/>
      <c r="AA1243" s="94"/>
    </row>
    <row r="1244" spans="23:27" hidden="1">
      <c r="W1244" s="96"/>
      <c r="X1244" s="96"/>
      <c r="Y1244" s="95"/>
      <c r="AA1244" s="94"/>
    </row>
    <row r="1245" spans="23:27" hidden="1">
      <c r="W1245" s="96"/>
      <c r="X1245" s="96"/>
      <c r="Y1245" s="95"/>
      <c r="AA1245" s="94"/>
    </row>
    <row r="1246" spans="23:27" hidden="1">
      <c r="W1246" s="96"/>
      <c r="X1246" s="96"/>
      <c r="Y1246" s="95"/>
      <c r="AA1246" s="94"/>
    </row>
    <row r="1247" spans="23:27" hidden="1">
      <c r="W1247" s="96"/>
      <c r="X1247" s="96"/>
      <c r="Y1247" s="95"/>
      <c r="AA1247" s="94"/>
    </row>
    <row r="1248" spans="23:27" hidden="1">
      <c r="W1248" s="96"/>
      <c r="X1248" s="96"/>
      <c r="Y1248" s="95"/>
      <c r="AA1248" s="94"/>
    </row>
    <row r="1249" spans="23:27" hidden="1">
      <c r="W1249" s="96"/>
      <c r="X1249" s="96"/>
      <c r="Y1249" s="95"/>
      <c r="AA1249" s="94"/>
    </row>
    <row r="1250" spans="23:27" hidden="1">
      <c r="W1250" s="96"/>
      <c r="X1250" s="96"/>
      <c r="Y1250" s="95"/>
      <c r="AA1250" s="94"/>
    </row>
    <row r="1251" spans="23:27" hidden="1">
      <c r="W1251" s="96"/>
      <c r="X1251" s="96"/>
      <c r="Y1251" s="95"/>
      <c r="AA1251" s="94"/>
    </row>
    <row r="1252" spans="23:27" hidden="1">
      <c r="W1252" s="96"/>
      <c r="X1252" s="96"/>
      <c r="Y1252" s="95"/>
      <c r="AA1252" s="94"/>
    </row>
    <row r="1253" spans="23:27" hidden="1">
      <c r="W1253" s="96"/>
      <c r="X1253" s="96"/>
      <c r="Y1253" s="95"/>
      <c r="AA1253" s="94"/>
    </row>
    <row r="1254" spans="23:27" hidden="1">
      <c r="W1254" s="96"/>
      <c r="X1254" s="96"/>
      <c r="Y1254" s="95"/>
      <c r="AA1254" s="94"/>
    </row>
    <row r="1255" spans="23:27" hidden="1">
      <c r="W1255" s="96"/>
      <c r="X1255" s="96"/>
      <c r="Y1255" s="95"/>
      <c r="AA1255" s="94"/>
    </row>
    <row r="1256" spans="23:27" hidden="1">
      <c r="W1256" s="96"/>
      <c r="X1256" s="96"/>
      <c r="Y1256" s="95"/>
      <c r="AA1256" s="94"/>
    </row>
    <row r="1257" spans="23:27" hidden="1">
      <c r="W1257" s="96"/>
      <c r="X1257" s="96"/>
      <c r="Y1257" s="95"/>
      <c r="AA1257" s="94"/>
    </row>
    <row r="1258" spans="23:27" hidden="1">
      <c r="W1258" s="96"/>
      <c r="X1258" s="96"/>
      <c r="Y1258" s="95"/>
      <c r="AA1258" s="94"/>
    </row>
    <row r="1259" spans="23:27" hidden="1">
      <c r="W1259" s="96"/>
      <c r="X1259" s="96"/>
      <c r="Y1259" s="95"/>
      <c r="AA1259" s="94"/>
    </row>
    <row r="1260" spans="23:27" hidden="1">
      <c r="W1260" s="96"/>
      <c r="X1260" s="96"/>
      <c r="Y1260" s="95"/>
      <c r="AA1260" s="94"/>
    </row>
    <row r="1261" spans="23:27" hidden="1">
      <c r="W1261" s="96"/>
      <c r="X1261" s="96"/>
      <c r="Y1261" s="95"/>
      <c r="AA1261" s="94"/>
    </row>
    <row r="1262" spans="23:27" hidden="1">
      <c r="W1262" s="96"/>
      <c r="X1262" s="96"/>
      <c r="Y1262" s="95"/>
      <c r="AA1262" s="94"/>
    </row>
    <row r="1263" spans="23:27" hidden="1">
      <c r="W1263" s="96"/>
      <c r="X1263" s="96"/>
      <c r="Y1263" s="95"/>
      <c r="AA1263" s="94"/>
    </row>
    <row r="1264" spans="23:27" hidden="1">
      <c r="W1264" s="96"/>
      <c r="X1264" s="96"/>
      <c r="Y1264" s="95"/>
      <c r="AA1264" s="94"/>
    </row>
    <row r="1265" spans="23:27" hidden="1">
      <c r="W1265" s="96"/>
      <c r="X1265" s="96"/>
      <c r="Y1265" s="95"/>
      <c r="AA1265" s="94"/>
    </row>
    <row r="1266" spans="23:27" hidden="1">
      <c r="W1266" s="96"/>
      <c r="X1266" s="96"/>
      <c r="Y1266" s="95"/>
      <c r="AA1266" s="94"/>
    </row>
    <row r="1267" spans="23:27" hidden="1">
      <c r="W1267" s="96"/>
      <c r="X1267" s="96"/>
      <c r="Y1267" s="95"/>
      <c r="AA1267" s="94"/>
    </row>
    <row r="1268" spans="23:27" hidden="1">
      <c r="W1268" s="96"/>
      <c r="X1268" s="96"/>
      <c r="Y1268" s="95"/>
      <c r="AA1268" s="94"/>
    </row>
    <row r="1269" spans="23:27" hidden="1">
      <c r="W1269" s="96"/>
      <c r="X1269" s="96"/>
      <c r="Y1269" s="95"/>
      <c r="AA1269" s="94"/>
    </row>
    <row r="1270" spans="23:27" hidden="1">
      <c r="W1270" s="96"/>
      <c r="X1270" s="96"/>
      <c r="Y1270" s="95"/>
      <c r="AA1270" s="94"/>
    </row>
    <row r="1271" spans="23:27" hidden="1">
      <c r="W1271" s="96"/>
      <c r="X1271" s="96"/>
      <c r="Y1271" s="95"/>
      <c r="AA1271" s="94"/>
    </row>
    <row r="1272" spans="23:27" hidden="1">
      <c r="W1272" s="96"/>
      <c r="X1272" s="96"/>
      <c r="Y1272" s="95"/>
      <c r="AA1272" s="94"/>
    </row>
    <row r="1273" spans="23:27" hidden="1">
      <c r="W1273" s="96"/>
      <c r="X1273" s="96"/>
      <c r="Y1273" s="95"/>
      <c r="AA1273" s="94"/>
    </row>
    <row r="1274" spans="23:27" hidden="1">
      <c r="W1274" s="96"/>
      <c r="X1274" s="96"/>
      <c r="Y1274" s="95"/>
      <c r="AA1274" s="94"/>
    </row>
    <row r="1275" spans="23:27" hidden="1">
      <c r="W1275" s="96"/>
      <c r="X1275" s="96"/>
      <c r="Y1275" s="95"/>
      <c r="AA1275" s="94"/>
    </row>
    <row r="1276" spans="23:27" hidden="1">
      <c r="W1276" s="96"/>
      <c r="X1276" s="96"/>
      <c r="Y1276" s="95"/>
      <c r="AA1276" s="94"/>
    </row>
    <row r="1277" spans="23:27" hidden="1">
      <c r="W1277" s="96"/>
      <c r="X1277" s="96"/>
      <c r="Y1277" s="95"/>
      <c r="AA1277" s="94"/>
    </row>
    <row r="1278" spans="23:27" hidden="1">
      <c r="W1278" s="96"/>
      <c r="X1278" s="96"/>
      <c r="Y1278" s="95"/>
      <c r="AA1278" s="94"/>
    </row>
    <row r="1279" spans="23:27" hidden="1">
      <c r="W1279" s="96"/>
      <c r="X1279" s="96"/>
      <c r="Y1279" s="95"/>
      <c r="AA1279" s="94"/>
    </row>
    <row r="1280" spans="23:27" hidden="1">
      <c r="W1280" s="96"/>
      <c r="X1280" s="96"/>
      <c r="Y1280" s="95"/>
      <c r="AA1280" s="94"/>
    </row>
    <row r="1281" spans="23:27" hidden="1">
      <c r="W1281" s="96"/>
      <c r="X1281" s="96"/>
      <c r="Y1281" s="95"/>
      <c r="AA1281" s="94"/>
    </row>
    <row r="1282" spans="23:27" hidden="1">
      <c r="W1282" s="96"/>
      <c r="X1282" s="96"/>
      <c r="Y1282" s="95"/>
      <c r="AA1282" s="94"/>
    </row>
    <row r="1283" spans="23:27" hidden="1">
      <c r="W1283" s="96"/>
      <c r="X1283" s="96"/>
      <c r="Y1283" s="95"/>
      <c r="AA1283" s="94"/>
    </row>
    <row r="1284" spans="23:27" hidden="1">
      <c r="W1284" s="96"/>
      <c r="X1284" s="96"/>
      <c r="Y1284" s="95"/>
      <c r="AA1284" s="94"/>
    </row>
    <row r="1285" spans="23:27" hidden="1">
      <c r="W1285" s="96"/>
      <c r="X1285" s="96"/>
      <c r="Y1285" s="95"/>
      <c r="AA1285" s="94"/>
    </row>
    <row r="1286" spans="23:27" hidden="1">
      <c r="W1286" s="96"/>
      <c r="X1286" s="96"/>
      <c r="Y1286" s="95"/>
      <c r="AA1286" s="94"/>
    </row>
    <row r="1287" spans="23:27" hidden="1">
      <c r="W1287" s="96"/>
      <c r="X1287" s="96"/>
      <c r="Y1287" s="95"/>
      <c r="AA1287" s="94"/>
    </row>
    <row r="1288" spans="23:27" hidden="1">
      <c r="W1288" s="96"/>
      <c r="X1288" s="96"/>
      <c r="Y1288" s="95"/>
      <c r="AA1288" s="94"/>
    </row>
    <row r="1289" spans="23:27" hidden="1">
      <c r="W1289" s="96"/>
      <c r="X1289" s="96"/>
      <c r="Y1289" s="95"/>
      <c r="AA1289" s="94"/>
    </row>
    <row r="1290" spans="23:27" hidden="1">
      <c r="W1290" s="96"/>
      <c r="X1290" s="96"/>
      <c r="Y1290" s="95"/>
      <c r="AA1290" s="94"/>
    </row>
    <row r="1291" spans="23:27" hidden="1">
      <c r="W1291" s="96"/>
      <c r="X1291" s="96"/>
      <c r="Y1291" s="95"/>
      <c r="AA1291" s="94"/>
    </row>
    <row r="1292" spans="23:27" hidden="1">
      <c r="W1292" s="96"/>
      <c r="X1292" s="96"/>
      <c r="Y1292" s="95"/>
      <c r="AA1292" s="94"/>
    </row>
    <row r="1293" spans="23:27" hidden="1">
      <c r="W1293" s="96"/>
      <c r="X1293" s="96"/>
      <c r="Y1293" s="95"/>
      <c r="AA1293" s="94"/>
    </row>
    <row r="1294" spans="23:27" hidden="1">
      <c r="W1294" s="96"/>
      <c r="X1294" s="96"/>
      <c r="Y1294" s="95"/>
      <c r="AA1294" s="94"/>
    </row>
    <row r="1295" spans="23:27" hidden="1">
      <c r="W1295" s="96"/>
      <c r="X1295" s="96"/>
      <c r="Y1295" s="95"/>
      <c r="AA1295" s="94"/>
    </row>
    <row r="1296" spans="23:27" hidden="1">
      <c r="W1296" s="96"/>
      <c r="X1296" s="96"/>
      <c r="Y1296" s="95"/>
      <c r="AA1296" s="94"/>
    </row>
    <row r="1297" spans="23:27" hidden="1">
      <c r="W1297" s="96"/>
      <c r="X1297" s="96"/>
      <c r="Y1297" s="95"/>
      <c r="AA1297" s="94"/>
    </row>
    <row r="1298" spans="23:27" hidden="1">
      <c r="W1298" s="96"/>
      <c r="X1298" s="96"/>
      <c r="Y1298" s="95"/>
      <c r="AA1298" s="94"/>
    </row>
    <row r="1299" spans="23:27" hidden="1">
      <c r="W1299" s="96"/>
      <c r="X1299" s="96"/>
      <c r="Y1299" s="95"/>
      <c r="AA1299" s="94"/>
    </row>
    <row r="1300" spans="23:27" hidden="1">
      <c r="W1300" s="96"/>
      <c r="X1300" s="96"/>
      <c r="Y1300" s="95"/>
      <c r="AA1300" s="94"/>
    </row>
    <row r="1301" spans="23:27" hidden="1">
      <c r="W1301" s="96"/>
      <c r="X1301" s="96"/>
      <c r="Y1301" s="95"/>
      <c r="AA1301" s="94"/>
    </row>
    <row r="1302" spans="23:27" hidden="1">
      <c r="W1302" s="96"/>
      <c r="X1302" s="96"/>
      <c r="Y1302" s="95"/>
      <c r="AA1302" s="94"/>
    </row>
    <row r="1303" spans="23:27" hidden="1">
      <c r="W1303" s="96"/>
      <c r="X1303" s="96"/>
      <c r="Y1303" s="95"/>
      <c r="AA1303" s="94"/>
    </row>
    <row r="1304" spans="23:27" hidden="1">
      <c r="W1304" s="96"/>
      <c r="X1304" s="96"/>
      <c r="Y1304" s="95"/>
      <c r="AA1304" s="94"/>
    </row>
    <row r="1305" spans="23:27" hidden="1">
      <c r="W1305" s="96"/>
      <c r="X1305" s="96"/>
      <c r="Y1305" s="95"/>
      <c r="AA1305" s="94"/>
    </row>
    <row r="1306" spans="23:27" hidden="1">
      <c r="W1306" s="96"/>
      <c r="X1306" s="96"/>
      <c r="Y1306" s="95"/>
      <c r="AA1306" s="94"/>
    </row>
    <row r="1307" spans="23:27" hidden="1">
      <c r="W1307" s="96"/>
      <c r="X1307" s="96"/>
      <c r="Y1307" s="95"/>
      <c r="AA1307" s="94"/>
    </row>
    <row r="1308" spans="23:27" hidden="1">
      <c r="W1308" s="96"/>
      <c r="X1308" s="96"/>
      <c r="Y1308" s="95"/>
      <c r="AA1308" s="94"/>
    </row>
    <row r="1309" spans="23:27" hidden="1">
      <c r="W1309" s="96"/>
      <c r="X1309" s="96"/>
      <c r="Y1309" s="95"/>
      <c r="AA1309" s="94"/>
    </row>
    <row r="1310" spans="23:27" hidden="1">
      <c r="W1310" s="96"/>
      <c r="X1310" s="96"/>
      <c r="Y1310" s="95"/>
      <c r="AA1310" s="94"/>
    </row>
    <row r="1311" spans="23:27" hidden="1">
      <c r="W1311" s="96"/>
      <c r="X1311" s="96"/>
      <c r="Y1311" s="95"/>
      <c r="AA1311" s="94"/>
    </row>
    <row r="1312" spans="23:27" hidden="1">
      <c r="W1312" s="96"/>
      <c r="X1312" s="96"/>
      <c r="Y1312" s="95"/>
      <c r="AA1312" s="94"/>
    </row>
    <row r="1313" spans="22:40" hidden="1">
      <c r="W1313" s="96"/>
      <c r="X1313" s="96"/>
      <c r="Y1313" s="95"/>
      <c r="AA1313" s="94"/>
    </row>
    <row r="1314" spans="22:40" hidden="1">
      <c r="W1314" s="96"/>
      <c r="X1314" s="96"/>
      <c r="Y1314" s="95"/>
      <c r="AA1314" s="94"/>
    </row>
    <row r="1315" spans="22:40" hidden="1"/>
    <row r="1316" spans="22:40" hidden="1"/>
    <row r="1317" spans="22:40" hidden="1">
      <c r="W1317" s="35"/>
    </row>
    <row r="1318" spans="22:40" hidden="1">
      <c r="W1318" s="35"/>
    </row>
    <row r="1319" spans="22:40" hidden="1">
      <c r="W1319" s="92"/>
    </row>
    <row r="1320" spans="22:40" hidden="1">
      <c r="W1320" s="92"/>
    </row>
    <row r="1321" spans="22:40" hidden="1"/>
    <row r="1322" spans="22:40" hidden="1">
      <c r="AE1322" s="36"/>
      <c r="AF1322" s="36"/>
      <c r="AG1322" s="36"/>
      <c r="AH1322" s="36"/>
      <c r="AI1322" s="36"/>
      <c r="AJ1322" s="36"/>
      <c r="AK1322" s="36"/>
      <c r="AL1322" s="36"/>
      <c r="AM1322" s="36"/>
      <c r="AN1322" s="36"/>
    </row>
    <row r="1323" spans="22:40" hidden="1">
      <c r="V1323" s="36"/>
      <c r="W1323" s="36"/>
      <c r="X1323" s="36"/>
      <c r="Y1323" s="36"/>
      <c r="Z1323" s="36"/>
      <c r="AA1323" s="36"/>
      <c r="AD1323" s="89"/>
      <c r="AE1323" s="93"/>
      <c r="AF1323" s="93"/>
      <c r="AG1323" s="93"/>
      <c r="AH1323" s="93"/>
      <c r="AI1323" s="93"/>
      <c r="AJ1323" s="93"/>
      <c r="AK1323" s="93"/>
      <c r="AL1323" s="93"/>
      <c r="AM1323" s="93"/>
      <c r="AN1323" s="93"/>
    </row>
    <row r="1324" spans="22:40" hidden="1"/>
    <row r="1325" spans="22:40" hidden="1">
      <c r="W1325" s="94"/>
      <c r="X1325" s="94"/>
      <c r="Y1325" s="95"/>
      <c r="AA1325" s="94"/>
      <c r="AD1325" s="94"/>
    </row>
    <row r="1326" spans="22:40" hidden="1">
      <c r="W1326" s="94"/>
      <c r="X1326" s="94"/>
      <c r="Y1326" s="95"/>
      <c r="AA1326" s="94"/>
      <c r="AD1326" s="94"/>
    </row>
    <row r="1327" spans="22:40" hidden="1">
      <c r="W1327" s="94"/>
      <c r="X1327" s="94"/>
      <c r="Y1327" s="95"/>
      <c r="AA1327" s="94"/>
      <c r="AE1327" s="94"/>
      <c r="AF1327" s="94"/>
      <c r="AG1327" s="94"/>
      <c r="AH1327" s="94"/>
      <c r="AI1327" s="94"/>
      <c r="AJ1327" s="94"/>
      <c r="AK1327" s="94"/>
      <c r="AL1327" s="94"/>
      <c r="AM1327" s="94"/>
      <c r="AN1327" s="94"/>
    </row>
    <row r="1328" spans="22:40" hidden="1">
      <c r="W1328" s="94"/>
      <c r="X1328" s="94"/>
      <c r="Y1328" s="95"/>
      <c r="AA1328" s="94"/>
      <c r="AE1328" s="94"/>
      <c r="AF1328" s="94"/>
      <c r="AG1328" s="94"/>
      <c r="AH1328" s="94"/>
      <c r="AI1328" s="94"/>
      <c r="AJ1328" s="94"/>
      <c r="AK1328" s="94"/>
      <c r="AL1328" s="94"/>
      <c r="AM1328" s="94"/>
      <c r="AN1328" s="94"/>
    </row>
    <row r="1329" spans="22:40" hidden="1">
      <c r="W1329" s="94"/>
      <c r="X1329" s="94"/>
      <c r="Y1329" s="95"/>
      <c r="AA1329" s="94"/>
      <c r="AE1329" s="94"/>
      <c r="AF1329" s="94"/>
      <c r="AG1329" s="94"/>
      <c r="AH1329" s="94"/>
      <c r="AI1329" s="94"/>
      <c r="AJ1329" s="94"/>
      <c r="AK1329" s="94"/>
      <c r="AL1329" s="94"/>
      <c r="AM1329" s="94"/>
      <c r="AN1329" s="94"/>
    </row>
    <row r="1330" spans="22:40">
      <c r="W1330" s="94"/>
      <c r="X1330" s="94"/>
      <c r="Y1330" s="95"/>
      <c r="AA1330" s="94"/>
    </row>
    <row r="1331" spans="22:40">
      <c r="W1331" s="94"/>
      <c r="X1331" s="94"/>
      <c r="Y1331" s="95"/>
      <c r="AA1331" s="94"/>
      <c r="AD1331" s="94"/>
      <c r="AE1331" s="94"/>
      <c r="AF1331" s="94"/>
      <c r="AG1331" s="94"/>
      <c r="AH1331" s="94"/>
      <c r="AI1331" s="94"/>
      <c r="AJ1331" s="94"/>
      <c r="AK1331" s="94"/>
      <c r="AL1331" s="94"/>
      <c r="AM1331" s="94"/>
      <c r="AN1331" s="94"/>
    </row>
    <row r="1332" spans="22:40">
      <c r="W1332" s="94"/>
      <c r="X1332" s="94"/>
      <c r="Y1332" s="95"/>
      <c r="AA1332" s="94"/>
    </row>
    <row r="1333" spans="22:40">
      <c r="W1333" s="94"/>
      <c r="X1333" s="94"/>
      <c r="Y1333" s="95"/>
      <c r="AA1333" s="94"/>
    </row>
    <row r="1334" spans="22:40">
      <c r="W1334" s="94"/>
      <c r="X1334" s="94"/>
      <c r="Y1334" s="95"/>
      <c r="AA1334" s="94"/>
    </row>
    <row r="1335" spans="22:40">
      <c r="V1335" s="91"/>
    </row>
    <row r="1337" spans="22:40">
      <c r="V1337" s="36"/>
      <c r="W1337" s="36"/>
      <c r="X1337" s="36"/>
      <c r="Y1337" s="36"/>
      <c r="Z1337" s="36"/>
      <c r="AA1337" s="36"/>
    </row>
    <row r="1339" spans="22:40">
      <c r="W1339" s="96"/>
      <c r="X1339" s="96"/>
      <c r="Y1339" s="95"/>
      <c r="AA1339" s="94"/>
    </row>
    <row r="1340" spans="22:40">
      <c r="W1340" s="96"/>
      <c r="X1340" s="96"/>
      <c r="Y1340" s="95"/>
      <c r="AA1340" s="94"/>
    </row>
    <row r="1341" spans="22:40">
      <c r="W1341" s="96"/>
      <c r="X1341" s="96"/>
      <c r="Y1341" s="95"/>
      <c r="AA1341" s="94"/>
    </row>
    <row r="1342" spans="22:40">
      <c r="W1342" s="96"/>
      <c r="X1342" s="96"/>
      <c r="Y1342" s="95"/>
      <c r="AA1342" s="94"/>
    </row>
    <row r="1343" spans="22:40">
      <c r="W1343" s="96"/>
      <c r="X1343" s="96"/>
      <c r="Y1343" s="95"/>
      <c r="AA1343" s="94"/>
    </row>
    <row r="1344" spans="22:40">
      <c r="W1344" s="96"/>
      <c r="X1344" s="96"/>
      <c r="Y1344" s="95"/>
      <c r="AA1344" s="94"/>
    </row>
    <row r="1345" spans="23:27">
      <c r="W1345" s="96"/>
      <c r="X1345" s="96"/>
      <c r="Y1345" s="95"/>
      <c r="AA1345" s="94"/>
    </row>
    <row r="1346" spans="23:27">
      <c r="W1346" s="96"/>
      <c r="X1346" s="96"/>
      <c r="Y1346" s="95"/>
      <c r="AA1346" s="94"/>
    </row>
    <row r="1347" spans="23:27">
      <c r="W1347" s="96"/>
      <c r="X1347" s="96"/>
      <c r="Y1347" s="95"/>
      <c r="AA1347" s="94"/>
    </row>
    <row r="1348" spans="23:27">
      <c r="W1348" s="96"/>
      <c r="X1348" s="96"/>
      <c r="Y1348" s="95"/>
      <c r="AA1348" s="94"/>
    </row>
    <row r="1349" spans="23:27">
      <c r="W1349" s="96"/>
      <c r="X1349" s="96"/>
      <c r="Y1349" s="95"/>
      <c r="AA1349" s="94"/>
    </row>
    <row r="1350" spans="23:27">
      <c r="W1350" s="96"/>
      <c r="X1350" s="96"/>
      <c r="Y1350" s="95"/>
      <c r="AA1350" s="94"/>
    </row>
    <row r="1351" spans="23:27">
      <c r="W1351" s="96"/>
      <c r="X1351" s="96"/>
      <c r="Y1351" s="95"/>
      <c r="AA1351" s="94"/>
    </row>
    <row r="1352" spans="23:27" hidden="1">
      <c r="W1352" s="96"/>
      <c r="X1352" s="96"/>
      <c r="Y1352" s="95"/>
      <c r="AA1352" s="94"/>
    </row>
    <row r="1353" spans="23:27" hidden="1">
      <c r="W1353" s="96"/>
      <c r="X1353" s="96"/>
      <c r="Y1353" s="95"/>
      <c r="AA1353" s="94"/>
    </row>
    <row r="1354" spans="23:27" hidden="1">
      <c r="W1354" s="96"/>
      <c r="X1354" s="96"/>
      <c r="Y1354" s="95"/>
      <c r="AA1354" s="94"/>
    </row>
    <row r="1355" spans="23:27" hidden="1">
      <c r="W1355" s="96"/>
      <c r="X1355" s="96"/>
      <c r="Y1355" s="95"/>
      <c r="AA1355" s="94"/>
    </row>
    <row r="1356" spans="23:27" hidden="1">
      <c r="W1356" s="96"/>
      <c r="X1356" s="96"/>
      <c r="Y1356" s="95"/>
      <c r="AA1356" s="94"/>
    </row>
    <row r="1357" spans="23:27" hidden="1">
      <c r="W1357" s="96"/>
      <c r="X1357" s="96"/>
      <c r="Y1357" s="95"/>
      <c r="AA1357" s="94"/>
    </row>
    <row r="1358" spans="23:27" hidden="1">
      <c r="W1358" s="96"/>
      <c r="X1358" s="96"/>
      <c r="Y1358" s="95"/>
      <c r="AA1358" s="94"/>
    </row>
    <row r="1359" spans="23:27" hidden="1">
      <c r="W1359" s="96"/>
      <c r="X1359" s="96"/>
      <c r="Y1359" s="95"/>
      <c r="AA1359" s="94"/>
    </row>
    <row r="1360" spans="23:27" hidden="1">
      <c r="W1360" s="96"/>
      <c r="X1360" s="96"/>
      <c r="Y1360" s="95"/>
      <c r="AA1360" s="94"/>
    </row>
    <row r="1361" spans="23:27" hidden="1">
      <c r="W1361" s="96"/>
      <c r="X1361" s="96"/>
      <c r="Y1361" s="95"/>
      <c r="AA1361" s="94"/>
    </row>
    <row r="1362" spans="23:27" hidden="1">
      <c r="W1362" s="96"/>
      <c r="X1362" s="96"/>
      <c r="Y1362" s="95"/>
      <c r="AA1362" s="94"/>
    </row>
    <row r="1363" spans="23:27" hidden="1">
      <c r="W1363" s="96"/>
      <c r="X1363" s="96"/>
      <c r="Y1363" s="95"/>
      <c r="AA1363" s="94"/>
    </row>
    <row r="1364" spans="23:27" hidden="1">
      <c r="W1364" s="96"/>
      <c r="X1364" s="96"/>
      <c r="Y1364" s="95"/>
      <c r="AA1364" s="94"/>
    </row>
    <row r="1365" spans="23:27" hidden="1">
      <c r="W1365" s="96"/>
      <c r="X1365" s="96"/>
      <c r="Y1365" s="95"/>
      <c r="AA1365" s="94"/>
    </row>
    <row r="1366" spans="23:27" hidden="1">
      <c r="W1366" s="96"/>
      <c r="X1366" s="96"/>
      <c r="Y1366" s="95"/>
      <c r="AA1366" s="94"/>
    </row>
    <row r="1367" spans="23:27" hidden="1">
      <c r="W1367" s="96"/>
      <c r="X1367" s="96"/>
      <c r="Y1367" s="95"/>
      <c r="AA1367" s="94"/>
    </row>
    <row r="1368" spans="23:27" hidden="1">
      <c r="W1368" s="96"/>
      <c r="X1368" s="96"/>
      <c r="Y1368" s="95"/>
      <c r="AA1368" s="94"/>
    </row>
    <row r="1369" spans="23:27" hidden="1">
      <c r="W1369" s="96"/>
      <c r="X1369" s="96"/>
      <c r="Y1369" s="95"/>
      <c r="AA1369" s="94"/>
    </row>
    <row r="1370" spans="23:27" hidden="1">
      <c r="W1370" s="96"/>
      <c r="X1370" s="96"/>
      <c r="Y1370" s="95"/>
      <c r="AA1370" s="94"/>
    </row>
    <row r="1371" spans="23:27" hidden="1">
      <c r="W1371" s="96"/>
      <c r="X1371" s="96"/>
      <c r="Y1371" s="95"/>
      <c r="AA1371" s="94"/>
    </row>
    <row r="1372" spans="23:27" hidden="1">
      <c r="W1372" s="96"/>
      <c r="X1372" s="96"/>
      <c r="Y1372" s="95"/>
      <c r="AA1372" s="94"/>
    </row>
    <row r="1373" spans="23:27" hidden="1">
      <c r="W1373" s="96"/>
      <c r="X1373" s="96"/>
      <c r="Y1373" s="95"/>
      <c r="AA1373" s="94"/>
    </row>
    <row r="1374" spans="23:27" hidden="1">
      <c r="W1374" s="96"/>
      <c r="X1374" s="96"/>
      <c r="Y1374" s="95"/>
      <c r="AA1374" s="94"/>
    </row>
    <row r="1375" spans="23:27" hidden="1">
      <c r="W1375" s="96"/>
      <c r="X1375" s="96"/>
      <c r="Y1375" s="95"/>
      <c r="AA1375" s="94"/>
    </row>
    <row r="1376" spans="23:27" hidden="1">
      <c r="W1376" s="96"/>
      <c r="X1376" s="96"/>
      <c r="Y1376" s="95"/>
      <c r="AA1376" s="94"/>
    </row>
    <row r="1377" spans="23:27" hidden="1">
      <c r="W1377" s="96"/>
      <c r="X1377" s="96"/>
      <c r="Y1377" s="95"/>
      <c r="AA1377" s="94"/>
    </row>
    <row r="1378" spans="23:27" hidden="1">
      <c r="W1378" s="96"/>
      <c r="X1378" s="96"/>
      <c r="Y1378" s="95"/>
      <c r="AA1378" s="94"/>
    </row>
    <row r="1379" spans="23:27" hidden="1">
      <c r="W1379" s="96"/>
      <c r="X1379" s="96"/>
      <c r="Y1379" s="95"/>
      <c r="AA1379" s="94"/>
    </row>
    <row r="1380" spans="23:27" hidden="1">
      <c r="W1380" s="96"/>
      <c r="X1380" s="96"/>
      <c r="Y1380" s="95"/>
      <c r="AA1380" s="94"/>
    </row>
    <row r="1381" spans="23:27" hidden="1">
      <c r="W1381" s="96"/>
      <c r="X1381" s="96"/>
      <c r="Y1381" s="95"/>
      <c r="AA1381" s="94"/>
    </row>
    <row r="1382" spans="23:27" hidden="1">
      <c r="W1382" s="96"/>
      <c r="X1382" s="96"/>
      <c r="Y1382" s="95"/>
      <c r="AA1382" s="94"/>
    </row>
    <row r="1383" spans="23:27" hidden="1">
      <c r="W1383" s="96"/>
      <c r="X1383" s="96"/>
      <c r="Y1383" s="95"/>
      <c r="AA1383" s="94"/>
    </row>
    <row r="1384" spans="23:27" hidden="1">
      <c r="W1384" s="96"/>
      <c r="X1384" s="96"/>
      <c r="Y1384" s="95"/>
      <c r="AA1384" s="94"/>
    </row>
    <row r="1385" spans="23:27" hidden="1">
      <c r="W1385" s="96"/>
      <c r="X1385" s="96"/>
      <c r="Y1385" s="95"/>
      <c r="AA1385" s="94"/>
    </row>
    <row r="1386" spans="23:27" hidden="1">
      <c r="W1386" s="96"/>
      <c r="X1386" s="96"/>
      <c r="Y1386" s="95"/>
      <c r="AA1386" s="94"/>
    </row>
    <row r="1387" spans="23:27" hidden="1">
      <c r="W1387" s="96"/>
      <c r="X1387" s="96"/>
      <c r="Y1387" s="95"/>
      <c r="AA1387" s="94"/>
    </row>
    <row r="1388" spans="23:27" hidden="1">
      <c r="W1388" s="96"/>
      <c r="X1388" s="96"/>
      <c r="Y1388" s="95"/>
      <c r="AA1388" s="94"/>
    </row>
    <row r="1389" spans="23:27" hidden="1">
      <c r="W1389" s="96"/>
      <c r="X1389" s="96"/>
      <c r="Y1389" s="95"/>
      <c r="AA1389" s="94"/>
    </row>
    <row r="1390" spans="23:27" hidden="1">
      <c r="W1390" s="96"/>
      <c r="X1390" s="96"/>
      <c r="Y1390" s="95"/>
      <c r="AA1390" s="94"/>
    </row>
    <row r="1391" spans="23:27" hidden="1">
      <c r="W1391" s="96"/>
      <c r="X1391" s="96"/>
      <c r="Y1391" s="95"/>
      <c r="AA1391" s="94"/>
    </row>
    <row r="1392" spans="23:27" hidden="1">
      <c r="W1392" s="96"/>
      <c r="X1392" s="96"/>
      <c r="Y1392" s="95"/>
      <c r="AA1392" s="94"/>
    </row>
    <row r="1393" spans="23:27" hidden="1">
      <c r="W1393" s="96"/>
      <c r="X1393" s="96"/>
      <c r="Y1393" s="95"/>
      <c r="AA1393" s="94"/>
    </row>
    <row r="1394" spans="23:27" hidden="1">
      <c r="W1394" s="96"/>
      <c r="X1394" s="96"/>
      <c r="Y1394" s="95"/>
      <c r="AA1394" s="94"/>
    </row>
    <row r="1395" spans="23:27" hidden="1">
      <c r="W1395" s="96"/>
      <c r="X1395" s="96"/>
      <c r="Y1395" s="95"/>
      <c r="AA1395" s="94"/>
    </row>
    <row r="1396" spans="23:27" hidden="1">
      <c r="W1396" s="96"/>
      <c r="X1396" s="96"/>
      <c r="Y1396" s="95"/>
      <c r="AA1396" s="94"/>
    </row>
    <row r="1397" spans="23:27" hidden="1">
      <c r="W1397" s="96"/>
      <c r="X1397" s="96"/>
      <c r="Y1397" s="95"/>
      <c r="AA1397" s="94"/>
    </row>
    <row r="1398" spans="23:27" hidden="1">
      <c r="W1398" s="96"/>
      <c r="X1398" s="96"/>
      <c r="Y1398" s="95"/>
      <c r="AA1398" s="94"/>
    </row>
    <row r="1399" spans="23:27" hidden="1">
      <c r="W1399" s="96"/>
      <c r="X1399" s="96"/>
      <c r="Y1399" s="95"/>
      <c r="AA1399" s="94"/>
    </row>
    <row r="1400" spans="23:27" hidden="1">
      <c r="W1400" s="96"/>
      <c r="X1400" s="96"/>
      <c r="Y1400" s="95"/>
      <c r="AA1400" s="94"/>
    </row>
    <row r="1401" spans="23:27" hidden="1">
      <c r="W1401" s="96"/>
      <c r="X1401" s="96"/>
      <c r="Y1401" s="95"/>
      <c r="AA1401" s="94"/>
    </row>
    <row r="1402" spans="23:27" hidden="1">
      <c r="W1402" s="96"/>
      <c r="X1402" s="96"/>
      <c r="Y1402" s="95"/>
      <c r="AA1402" s="94"/>
    </row>
    <row r="1403" spans="23:27" hidden="1">
      <c r="W1403" s="96"/>
      <c r="X1403" s="96"/>
      <c r="Y1403" s="95"/>
      <c r="AA1403" s="94"/>
    </row>
    <row r="1404" spans="23:27" hidden="1">
      <c r="W1404" s="96"/>
      <c r="X1404" s="96"/>
      <c r="Y1404" s="95"/>
      <c r="AA1404" s="94"/>
    </row>
    <row r="1405" spans="23:27" hidden="1">
      <c r="W1405" s="96"/>
      <c r="X1405" s="96"/>
      <c r="Y1405" s="95"/>
      <c r="AA1405" s="94"/>
    </row>
    <row r="1406" spans="23:27" hidden="1">
      <c r="W1406" s="96"/>
      <c r="X1406" s="96"/>
      <c r="Y1406" s="95"/>
      <c r="AA1406" s="94"/>
    </row>
    <row r="1407" spans="23:27" hidden="1">
      <c r="W1407" s="96"/>
      <c r="X1407" s="96"/>
      <c r="Y1407" s="95"/>
      <c r="AA1407" s="94"/>
    </row>
    <row r="1408" spans="23:27" hidden="1">
      <c r="W1408" s="96"/>
      <c r="X1408" s="96"/>
      <c r="Y1408" s="95"/>
      <c r="AA1408" s="94"/>
    </row>
    <row r="1409" spans="23:27" hidden="1">
      <c r="W1409" s="96"/>
      <c r="X1409" s="96"/>
      <c r="Y1409" s="95"/>
      <c r="AA1409" s="94"/>
    </row>
    <row r="1410" spans="23:27" hidden="1">
      <c r="W1410" s="96"/>
      <c r="X1410" s="96"/>
      <c r="Y1410" s="95"/>
      <c r="AA1410" s="94"/>
    </row>
    <row r="1411" spans="23:27" hidden="1">
      <c r="W1411" s="96"/>
      <c r="X1411" s="96"/>
      <c r="Y1411" s="95"/>
      <c r="AA1411" s="94"/>
    </row>
    <row r="1412" spans="23:27" hidden="1">
      <c r="W1412" s="96"/>
      <c r="X1412" s="96"/>
      <c r="Y1412" s="95"/>
      <c r="AA1412" s="94"/>
    </row>
    <row r="1413" spans="23:27" hidden="1">
      <c r="W1413" s="96"/>
      <c r="X1413" s="96"/>
      <c r="Y1413" s="95"/>
      <c r="AA1413" s="94"/>
    </row>
    <row r="1414" spans="23:27" hidden="1">
      <c r="W1414" s="96"/>
      <c r="X1414" s="96"/>
      <c r="Y1414" s="95"/>
      <c r="AA1414" s="94"/>
    </row>
    <row r="1415" spans="23:27" hidden="1">
      <c r="W1415" s="96"/>
      <c r="X1415" s="96"/>
      <c r="Y1415" s="95"/>
      <c r="AA1415" s="94"/>
    </row>
    <row r="1416" spans="23:27" hidden="1">
      <c r="W1416" s="96"/>
      <c r="X1416" s="96"/>
      <c r="Y1416" s="95"/>
      <c r="AA1416" s="94"/>
    </row>
    <row r="1417" spans="23:27" hidden="1">
      <c r="W1417" s="96"/>
      <c r="X1417" s="96"/>
      <c r="Y1417" s="95"/>
      <c r="AA1417" s="94"/>
    </row>
    <row r="1418" spans="23:27" hidden="1">
      <c r="W1418" s="96"/>
      <c r="X1418" s="96"/>
      <c r="Y1418" s="95"/>
      <c r="AA1418" s="94"/>
    </row>
    <row r="1419" spans="23:27" hidden="1">
      <c r="W1419" s="96"/>
      <c r="X1419" s="96"/>
      <c r="Y1419" s="95"/>
      <c r="AA1419" s="94"/>
    </row>
    <row r="1420" spans="23:27" hidden="1">
      <c r="W1420" s="96"/>
      <c r="X1420" s="96"/>
      <c r="Y1420" s="95"/>
      <c r="AA1420" s="94"/>
    </row>
    <row r="1421" spans="23:27" hidden="1">
      <c r="W1421" s="96"/>
      <c r="X1421" s="96"/>
      <c r="Y1421" s="95"/>
      <c r="AA1421" s="94"/>
    </row>
    <row r="1422" spans="23:27" hidden="1">
      <c r="W1422" s="96"/>
      <c r="X1422" s="96"/>
      <c r="Y1422" s="95"/>
      <c r="AA1422" s="94"/>
    </row>
    <row r="1423" spans="23:27" hidden="1">
      <c r="W1423" s="96"/>
      <c r="X1423" s="96"/>
      <c r="Y1423" s="95"/>
      <c r="AA1423" s="94"/>
    </row>
    <row r="1424" spans="23:27" hidden="1">
      <c r="W1424" s="96"/>
      <c r="X1424" s="96"/>
      <c r="Y1424" s="95"/>
      <c r="AA1424" s="94"/>
    </row>
    <row r="1425" spans="23:27" hidden="1">
      <c r="W1425" s="96"/>
      <c r="X1425" s="96"/>
      <c r="Y1425" s="95"/>
      <c r="AA1425" s="94"/>
    </row>
    <row r="1426" spans="23:27" hidden="1">
      <c r="W1426" s="96"/>
      <c r="X1426" s="96"/>
      <c r="Y1426" s="95"/>
      <c r="AA1426" s="94"/>
    </row>
    <row r="1427" spans="23:27" hidden="1">
      <c r="W1427" s="96"/>
      <c r="X1427" s="96"/>
      <c r="Y1427" s="95"/>
      <c r="AA1427" s="94"/>
    </row>
    <row r="1428" spans="23:27" hidden="1">
      <c r="W1428" s="96"/>
      <c r="X1428" s="96"/>
      <c r="Y1428" s="95"/>
      <c r="AA1428" s="94"/>
    </row>
    <row r="1429" spans="23:27" hidden="1">
      <c r="W1429" s="96"/>
      <c r="X1429" s="96"/>
      <c r="Y1429" s="95"/>
      <c r="AA1429" s="94"/>
    </row>
    <row r="1430" spans="23:27" hidden="1">
      <c r="W1430" s="96"/>
      <c r="X1430" s="96"/>
      <c r="Y1430" s="95"/>
      <c r="AA1430" s="94"/>
    </row>
    <row r="1431" spans="23:27" hidden="1">
      <c r="W1431" s="96"/>
      <c r="X1431" s="96"/>
      <c r="Y1431" s="95"/>
      <c r="AA1431" s="94"/>
    </row>
    <row r="1432" spans="23:27" hidden="1">
      <c r="W1432" s="96"/>
      <c r="X1432" s="96"/>
      <c r="Y1432" s="95"/>
      <c r="AA1432" s="94"/>
    </row>
    <row r="1433" spans="23:27" hidden="1">
      <c r="W1433" s="96"/>
      <c r="X1433" s="96"/>
      <c r="Y1433" s="95"/>
      <c r="AA1433" s="94"/>
    </row>
    <row r="1434" spans="23:27" hidden="1">
      <c r="W1434" s="96"/>
      <c r="X1434" s="96"/>
      <c r="Y1434" s="95"/>
      <c r="AA1434" s="94"/>
    </row>
    <row r="1435" spans="23:27" hidden="1">
      <c r="W1435" s="96"/>
      <c r="X1435" s="96"/>
      <c r="Y1435" s="95"/>
      <c r="AA1435" s="94"/>
    </row>
    <row r="1436" spans="23:27" hidden="1">
      <c r="W1436" s="96"/>
      <c r="X1436" s="96"/>
      <c r="Y1436" s="95"/>
      <c r="AA1436" s="94"/>
    </row>
    <row r="1437" spans="23:27" hidden="1">
      <c r="W1437" s="96"/>
      <c r="X1437" s="96"/>
      <c r="Y1437" s="95"/>
      <c r="AA1437" s="94"/>
    </row>
    <row r="1438" spans="23:27" hidden="1">
      <c r="W1438" s="96"/>
      <c r="X1438" s="96"/>
      <c r="Y1438" s="95"/>
      <c r="AA1438" s="94"/>
    </row>
    <row r="1439" spans="23:27" hidden="1">
      <c r="W1439" s="96"/>
      <c r="X1439" s="96"/>
      <c r="Y1439" s="95"/>
      <c r="AA1439" s="94"/>
    </row>
    <row r="1440" spans="23:27" hidden="1">
      <c r="W1440" s="96"/>
      <c r="X1440" s="96"/>
      <c r="Y1440" s="95"/>
      <c r="AA1440" s="94"/>
    </row>
    <row r="1441" spans="23:27" hidden="1">
      <c r="W1441" s="96"/>
      <c r="X1441" s="96"/>
      <c r="Y1441" s="95"/>
      <c r="AA1441" s="94"/>
    </row>
    <row r="1442" spans="23:27" hidden="1">
      <c r="W1442" s="96"/>
      <c r="X1442" s="96"/>
      <c r="Y1442" s="95"/>
      <c r="AA1442" s="94"/>
    </row>
    <row r="1443" spans="23:27" hidden="1">
      <c r="W1443" s="96"/>
      <c r="X1443" s="96"/>
      <c r="Y1443" s="95"/>
      <c r="AA1443" s="94"/>
    </row>
    <row r="1444" spans="23:27" hidden="1">
      <c r="W1444" s="96"/>
      <c r="X1444" s="96"/>
      <c r="Y1444" s="95"/>
      <c r="AA1444" s="94"/>
    </row>
    <row r="1445" spans="23:27" hidden="1">
      <c r="W1445" s="96"/>
      <c r="X1445" s="96"/>
      <c r="Y1445" s="95"/>
      <c r="AA1445" s="94"/>
    </row>
    <row r="1446" spans="23:27" hidden="1">
      <c r="W1446" s="96"/>
      <c r="X1446" s="96"/>
      <c r="Y1446" s="95"/>
      <c r="AA1446" s="94"/>
    </row>
    <row r="1447" spans="23:27" hidden="1">
      <c r="W1447" s="96"/>
      <c r="X1447" s="96"/>
      <c r="Y1447" s="95"/>
      <c r="AA1447" s="94"/>
    </row>
    <row r="1448" spans="23:27" hidden="1">
      <c r="W1448" s="96"/>
      <c r="X1448" s="96"/>
      <c r="Y1448" s="95"/>
      <c r="AA1448" s="94"/>
    </row>
    <row r="1449" spans="23:27" hidden="1">
      <c r="W1449" s="96"/>
      <c r="X1449" s="96"/>
      <c r="Y1449" s="95"/>
      <c r="AA1449" s="94"/>
    </row>
    <row r="1450" spans="23:27" hidden="1">
      <c r="W1450" s="96"/>
      <c r="X1450" s="96"/>
      <c r="Y1450" s="95"/>
      <c r="AA1450" s="94"/>
    </row>
    <row r="1451" spans="23:27" hidden="1">
      <c r="W1451" s="96"/>
      <c r="X1451" s="96"/>
      <c r="Y1451" s="95"/>
      <c r="AA1451" s="94"/>
    </row>
    <row r="1452" spans="23:27" hidden="1">
      <c r="W1452" s="96"/>
      <c r="X1452" s="96"/>
      <c r="Y1452" s="95"/>
      <c r="AA1452" s="94"/>
    </row>
    <row r="1453" spans="23:27" hidden="1">
      <c r="W1453" s="96"/>
      <c r="X1453" s="96"/>
      <c r="Y1453" s="95"/>
      <c r="AA1453" s="94"/>
    </row>
    <row r="1454" spans="23:27" hidden="1">
      <c r="W1454" s="96"/>
      <c r="X1454" s="96"/>
      <c r="Y1454" s="95"/>
      <c r="AA1454" s="94"/>
    </row>
    <row r="1455" spans="23:27" hidden="1">
      <c r="W1455" s="96"/>
      <c r="X1455" s="96"/>
      <c r="Y1455" s="95"/>
      <c r="AA1455" s="94"/>
    </row>
    <row r="1456" spans="23:27" hidden="1">
      <c r="W1456" s="96"/>
      <c r="X1456" s="96"/>
      <c r="Y1456" s="95"/>
      <c r="AA1456" s="94"/>
    </row>
    <row r="1457" spans="22:40" hidden="1">
      <c r="W1457" s="96"/>
      <c r="X1457" s="96"/>
      <c r="Y1457" s="95"/>
      <c r="AA1457" s="94"/>
    </row>
    <row r="1458" spans="22:40" hidden="1">
      <c r="W1458" s="96"/>
      <c r="X1458" s="96"/>
      <c r="Y1458" s="95"/>
      <c r="AA1458" s="94"/>
    </row>
    <row r="1459" spans="22:40" hidden="1"/>
    <row r="1460" spans="22:40" hidden="1"/>
    <row r="1461" spans="22:40" hidden="1">
      <c r="W1461" s="35"/>
    </row>
    <row r="1462" spans="22:40" hidden="1">
      <c r="W1462" s="35"/>
    </row>
    <row r="1463" spans="22:40" hidden="1">
      <c r="W1463" s="92"/>
    </row>
    <row r="1464" spans="22:40" hidden="1">
      <c r="W1464" s="92"/>
    </row>
    <row r="1465" spans="22:40" hidden="1"/>
    <row r="1466" spans="22:40" hidden="1">
      <c r="AE1466" s="36"/>
      <c r="AF1466" s="36"/>
      <c r="AG1466" s="36"/>
      <c r="AH1466" s="36"/>
      <c r="AI1466" s="36"/>
      <c r="AJ1466" s="36"/>
      <c r="AK1466" s="36"/>
      <c r="AL1466" s="36"/>
      <c r="AM1466" s="36"/>
      <c r="AN1466" s="36"/>
    </row>
    <row r="1467" spans="22:40" hidden="1">
      <c r="V1467" s="36"/>
      <c r="W1467" s="36"/>
      <c r="X1467" s="36"/>
      <c r="Y1467" s="36"/>
      <c r="Z1467" s="36"/>
      <c r="AA1467" s="36"/>
      <c r="AD1467" s="89"/>
      <c r="AE1467" s="93"/>
      <c r="AF1467" s="93"/>
      <c r="AG1467" s="93"/>
      <c r="AH1467" s="93"/>
      <c r="AI1467" s="93"/>
      <c r="AJ1467" s="93"/>
      <c r="AK1467" s="93"/>
      <c r="AL1467" s="93"/>
      <c r="AM1467" s="93"/>
      <c r="AN1467" s="93"/>
    </row>
    <row r="1468" spans="22:40" hidden="1"/>
    <row r="1469" spans="22:40" hidden="1">
      <c r="W1469" s="94"/>
      <c r="X1469" s="94"/>
      <c r="Y1469" s="95"/>
      <c r="AA1469" s="94"/>
      <c r="AD1469" s="94"/>
    </row>
    <row r="1470" spans="22:40" hidden="1">
      <c r="W1470" s="94"/>
      <c r="X1470" s="94"/>
      <c r="Y1470" s="95"/>
      <c r="AA1470" s="94"/>
      <c r="AD1470" s="94"/>
    </row>
    <row r="1471" spans="22:40" hidden="1">
      <c r="W1471" s="94"/>
      <c r="X1471" s="94"/>
      <c r="Y1471" s="95"/>
      <c r="AA1471" s="94"/>
      <c r="AE1471" s="94"/>
      <c r="AF1471" s="94"/>
      <c r="AG1471" s="94"/>
      <c r="AH1471" s="94"/>
      <c r="AI1471" s="94"/>
      <c r="AJ1471" s="94"/>
      <c r="AK1471" s="94"/>
      <c r="AL1471" s="94"/>
      <c r="AM1471" s="94"/>
      <c r="AN1471" s="94"/>
    </row>
    <row r="1472" spans="22:40" hidden="1">
      <c r="W1472" s="94"/>
      <c r="X1472" s="94"/>
      <c r="Y1472" s="95"/>
      <c r="AA1472" s="94"/>
      <c r="AE1472" s="94"/>
      <c r="AF1472" s="94"/>
      <c r="AG1472" s="94"/>
      <c r="AH1472" s="94"/>
      <c r="AI1472" s="94"/>
      <c r="AJ1472" s="94"/>
      <c r="AK1472" s="94"/>
      <c r="AL1472" s="94"/>
      <c r="AM1472" s="94"/>
      <c r="AN1472" s="94"/>
    </row>
    <row r="1473" spans="22:40" hidden="1">
      <c r="W1473" s="94"/>
      <c r="X1473" s="94"/>
      <c r="Y1473" s="95"/>
      <c r="AA1473" s="94"/>
      <c r="AE1473" s="94"/>
      <c r="AF1473" s="94"/>
      <c r="AG1473" s="94"/>
      <c r="AH1473" s="94"/>
      <c r="AI1473" s="94"/>
      <c r="AJ1473" s="94"/>
      <c r="AK1473" s="94"/>
      <c r="AL1473" s="94"/>
      <c r="AM1473" s="94"/>
      <c r="AN1473" s="94"/>
    </row>
    <row r="1474" spans="22:40">
      <c r="W1474" s="94"/>
      <c r="X1474" s="94"/>
      <c r="Y1474" s="95"/>
      <c r="AA1474" s="94"/>
    </row>
    <row r="1475" spans="22:40">
      <c r="W1475" s="94"/>
      <c r="X1475" s="94"/>
      <c r="Y1475" s="95"/>
      <c r="AA1475" s="94"/>
      <c r="AD1475" s="94"/>
      <c r="AE1475" s="94"/>
      <c r="AF1475" s="94"/>
      <c r="AG1475" s="94"/>
      <c r="AH1475" s="94"/>
      <c r="AI1475" s="94"/>
      <c r="AJ1475" s="94"/>
      <c r="AK1475" s="94"/>
      <c r="AL1475" s="94"/>
      <c r="AM1475" s="94"/>
      <c r="AN1475" s="94"/>
    </row>
    <row r="1476" spans="22:40">
      <c r="W1476" s="94"/>
      <c r="X1476" s="94"/>
      <c r="Y1476" s="95"/>
      <c r="AA1476" s="94"/>
    </row>
    <row r="1477" spans="22:40">
      <c r="W1477" s="94"/>
      <c r="X1477" s="94"/>
      <c r="Y1477" s="95"/>
      <c r="AA1477" s="94"/>
    </row>
    <row r="1478" spans="22:40">
      <c r="W1478" s="94"/>
      <c r="X1478" s="94"/>
      <c r="Y1478" s="95"/>
      <c r="AA1478" s="94"/>
    </row>
    <row r="1479" spans="22:40">
      <c r="V1479" s="91"/>
    </row>
    <row r="1481" spans="22:40">
      <c r="V1481" s="36"/>
      <c r="W1481" s="36"/>
      <c r="X1481" s="36"/>
      <c r="Y1481" s="36"/>
      <c r="Z1481" s="36"/>
      <c r="AA1481" s="36"/>
    </row>
    <row r="1483" spans="22:40">
      <c r="W1483" s="96"/>
      <c r="X1483" s="96"/>
      <c r="Y1483" s="95"/>
      <c r="AA1483" s="94"/>
    </row>
    <row r="1484" spans="22:40">
      <c r="W1484" s="96"/>
      <c r="X1484" s="96"/>
      <c r="Y1484" s="95"/>
      <c r="AA1484" s="94"/>
    </row>
    <row r="1485" spans="22:40">
      <c r="W1485" s="96"/>
      <c r="X1485" s="96"/>
      <c r="Y1485" s="95"/>
      <c r="AA1485" s="94"/>
    </row>
    <row r="1486" spans="22:40">
      <c r="W1486" s="96"/>
      <c r="X1486" s="96"/>
      <c r="Y1486" s="95"/>
      <c r="AA1486" s="94"/>
    </row>
    <row r="1487" spans="22:40">
      <c r="W1487" s="96"/>
      <c r="X1487" s="96"/>
      <c r="Y1487" s="95"/>
      <c r="AA1487" s="94"/>
    </row>
    <row r="1488" spans="22:40">
      <c r="W1488" s="96"/>
      <c r="X1488" s="96"/>
      <c r="Y1488" s="95"/>
      <c r="AA1488" s="94"/>
    </row>
    <row r="1489" spans="23:27">
      <c r="W1489" s="96"/>
      <c r="X1489" s="96"/>
      <c r="Y1489" s="95"/>
      <c r="AA1489" s="94"/>
    </row>
    <row r="1490" spans="23:27">
      <c r="W1490" s="96"/>
      <c r="X1490" s="96"/>
      <c r="Y1490" s="95"/>
      <c r="AA1490" s="94"/>
    </row>
    <row r="1491" spans="23:27">
      <c r="W1491" s="96"/>
      <c r="X1491" s="96"/>
      <c r="Y1491" s="95"/>
      <c r="AA1491" s="94"/>
    </row>
    <row r="1492" spans="23:27">
      <c r="W1492" s="96"/>
      <c r="X1492" s="96"/>
      <c r="Y1492" s="95"/>
      <c r="AA1492" s="94"/>
    </row>
    <row r="1493" spans="23:27">
      <c r="W1493" s="96"/>
      <c r="X1493" s="96"/>
      <c r="Y1493" s="95"/>
      <c r="AA1493" s="94"/>
    </row>
    <row r="1494" spans="23:27">
      <c r="W1494" s="96"/>
      <c r="X1494" s="96"/>
      <c r="Y1494" s="95"/>
      <c r="AA1494" s="94"/>
    </row>
    <row r="1495" spans="23:27">
      <c r="W1495" s="96"/>
      <c r="X1495" s="96"/>
      <c r="Y1495" s="95"/>
      <c r="AA1495" s="94"/>
    </row>
    <row r="1496" spans="23:27" hidden="1">
      <c r="W1496" s="96"/>
      <c r="X1496" s="96"/>
      <c r="Y1496" s="95"/>
      <c r="AA1496" s="94"/>
    </row>
    <row r="1497" spans="23:27" hidden="1">
      <c r="W1497" s="96"/>
      <c r="X1497" s="96"/>
      <c r="Y1497" s="95"/>
      <c r="AA1497" s="94"/>
    </row>
    <row r="1498" spans="23:27" hidden="1">
      <c r="W1498" s="96"/>
      <c r="X1498" s="96"/>
      <c r="Y1498" s="95"/>
      <c r="AA1498" s="94"/>
    </row>
    <row r="1499" spans="23:27" hidden="1">
      <c r="W1499" s="96"/>
      <c r="X1499" s="96"/>
      <c r="Y1499" s="95"/>
      <c r="AA1499" s="94"/>
    </row>
    <row r="1500" spans="23:27" hidden="1">
      <c r="W1500" s="96"/>
      <c r="X1500" s="96"/>
      <c r="Y1500" s="95"/>
      <c r="AA1500" s="94"/>
    </row>
    <row r="1501" spans="23:27" hidden="1">
      <c r="W1501" s="96"/>
      <c r="X1501" s="96"/>
      <c r="Y1501" s="95"/>
      <c r="AA1501" s="94"/>
    </row>
    <row r="1502" spans="23:27" hidden="1">
      <c r="W1502" s="96"/>
      <c r="X1502" s="96"/>
      <c r="Y1502" s="95"/>
      <c r="AA1502" s="94"/>
    </row>
    <row r="1503" spans="23:27" hidden="1">
      <c r="W1503" s="96"/>
      <c r="X1503" s="96"/>
      <c r="Y1503" s="95"/>
      <c r="AA1503" s="94"/>
    </row>
    <row r="1504" spans="23:27" hidden="1">
      <c r="W1504" s="96"/>
      <c r="X1504" s="96"/>
      <c r="Y1504" s="95"/>
      <c r="AA1504" s="94"/>
    </row>
    <row r="1505" spans="23:27" hidden="1">
      <c r="W1505" s="96"/>
      <c r="X1505" s="96"/>
      <c r="Y1505" s="95"/>
      <c r="AA1505" s="94"/>
    </row>
    <row r="1506" spans="23:27" hidden="1">
      <c r="W1506" s="96"/>
      <c r="X1506" s="96"/>
      <c r="Y1506" s="95"/>
      <c r="AA1506" s="94"/>
    </row>
    <row r="1507" spans="23:27" hidden="1">
      <c r="W1507" s="96"/>
      <c r="X1507" s="96"/>
      <c r="Y1507" s="95"/>
      <c r="AA1507" s="94"/>
    </row>
    <row r="1508" spans="23:27" hidden="1">
      <c r="W1508" s="96"/>
      <c r="X1508" s="96"/>
      <c r="Y1508" s="95"/>
      <c r="AA1508" s="94"/>
    </row>
    <row r="1509" spans="23:27" hidden="1">
      <c r="W1509" s="96"/>
      <c r="X1509" s="96"/>
      <c r="Y1509" s="95"/>
      <c r="AA1509" s="94"/>
    </row>
    <row r="1510" spans="23:27" hidden="1">
      <c r="W1510" s="96"/>
      <c r="X1510" s="96"/>
      <c r="Y1510" s="95"/>
      <c r="AA1510" s="94"/>
    </row>
    <row r="1511" spans="23:27" hidden="1">
      <c r="W1511" s="96"/>
      <c r="X1511" s="96"/>
      <c r="Y1511" s="95"/>
      <c r="AA1511" s="94"/>
    </row>
    <row r="1512" spans="23:27" hidden="1">
      <c r="W1512" s="96"/>
      <c r="X1512" s="96"/>
      <c r="Y1512" s="95"/>
      <c r="AA1512" s="94"/>
    </row>
    <row r="1513" spans="23:27" hidden="1">
      <c r="W1513" s="96"/>
      <c r="X1513" s="96"/>
      <c r="Y1513" s="95"/>
      <c r="AA1513" s="94"/>
    </row>
    <row r="1514" spans="23:27" hidden="1">
      <c r="W1514" s="96"/>
      <c r="X1514" s="96"/>
      <c r="Y1514" s="95"/>
      <c r="AA1514" s="94"/>
    </row>
    <row r="1515" spans="23:27" hidden="1">
      <c r="W1515" s="96"/>
      <c r="X1515" s="96"/>
      <c r="Y1515" s="95"/>
      <c r="AA1515" s="94"/>
    </row>
    <row r="1516" spans="23:27" hidden="1">
      <c r="W1516" s="96"/>
      <c r="X1516" s="96"/>
      <c r="Y1516" s="95"/>
      <c r="AA1516" s="94"/>
    </row>
    <row r="1517" spans="23:27" hidden="1">
      <c r="W1517" s="96"/>
      <c r="X1517" s="96"/>
      <c r="Y1517" s="95"/>
      <c r="AA1517" s="94"/>
    </row>
    <row r="1518" spans="23:27" hidden="1">
      <c r="W1518" s="96"/>
      <c r="X1518" s="96"/>
      <c r="Y1518" s="95"/>
      <c r="AA1518" s="94"/>
    </row>
    <row r="1519" spans="23:27" hidden="1">
      <c r="W1519" s="96"/>
      <c r="X1519" s="96"/>
      <c r="Y1519" s="95"/>
      <c r="AA1519" s="94"/>
    </row>
    <row r="1520" spans="23:27" hidden="1">
      <c r="W1520" s="96"/>
      <c r="X1520" s="96"/>
      <c r="Y1520" s="95"/>
      <c r="AA1520" s="94"/>
    </row>
    <row r="1521" spans="23:27" hidden="1">
      <c r="W1521" s="96"/>
      <c r="X1521" s="96"/>
      <c r="Y1521" s="95"/>
      <c r="AA1521" s="94"/>
    </row>
    <row r="1522" spans="23:27" hidden="1">
      <c r="W1522" s="96"/>
      <c r="X1522" s="96"/>
      <c r="Y1522" s="95"/>
      <c r="AA1522" s="94"/>
    </row>
    <row r="1523" spans="23:27" hidden="1">
      <c r="W1523" s="96"/>
      <c r="X1523" s="96"/>
      <c r="Y1523" s="95"/>
      <c r="AA1523" s="94"/>
    </row>
    <row r="1524" spans="23:27" hidden="1">
      <c r="W1524" s="96"/>
      <c r="X1524" s="96"/>
      <c r="Y1524" s="95"/>
      <c r="AA1524" s="94"/>
    </row>
    <row r="1525" spans="23:27" hidden="1">
      <c r="W1525" s="96"/>
      <c r="X1525" s="96"/>
      <c r="Y1525" s="95"/>
      <c r="AA1525" s="94"/>
    </row>
    <row r="1526" spans="23:27" hidden="1">
      <c r="W1526" s="96"/>
      <c r="X1526" s="96"/>
      <c r="Y1526" s="95"/>
      <c r="AA1526" s="94"/>
    </row>
    <row r="1527" spans="23:27" hidden="1">
      <c r="W1527" s="96"/>
      <c r="X1527" s="96"/>
      <c r="Y1527" s="95"/>
      <c r="AA1527" s="94"/>
    </row>
    <row r="1528" spans="23:27" hidden="1">
      <c r="W1528" s="96"/>
      <c r="X1528" s="96"/>
      <c r="Y1528" s="95"/>
      <c r="AA1528" s="94"/>
    </row>
    <row r="1529" spans="23:27" hidden="1">
      <c r="W1529" s="96"/>
      <c r="X1529" s="96"/>
      <c r="Y1529" s="95"/>
      <c r="AA1529" s="94"/>
    </row>
    <row r="1530" spans="23:27" hidden="1">
      <c r="W1530" s="96"/>
      <c r="X1530" s="96"/>
      <c r="Y1530" s="95"/>
      <c r="AA1530" s="94"/>
    </row>
    <row r="1531" spans="23:27" hidden="1">
      <c r="W1531" s="96"/>
      <c r="X1531" s="96"/>
      <c r="Y1531" s="95"/>
      <c r="AA1531" s="94"/>
    </row>
    <row r="1532" spans="23:27" hidden="1">
      <c r="W1532" s="96"/>
      <c r="X1532" s="96"/>
      <c r="Y1532" s="95"/>
      <c r="AA1532" s="94"/>
    </row>
    <row r="1533" spans="23:27" hidden="1">
      <c r="W1533" s="96"/>
      <c r="X1533" s="96"/>
      <c r="Y1533" s="95"/>
      <c r="AA1533" s="94"/>
    </row>
    <row r="1534" spans="23:27" hidden="1">
      <c r="W1534" s="96"/>
      <c r="X1534" s="96"/>
      <c r="Y1534" s="95"/>
      <c r="AA1534" s="94"/>
    </row>
    <row r="1535" spans="23:27" hidden="1">
      <c r="W1535" s="96"/>
      <c r="X1535" s="96"/>
      <c r="Y1535" s="95"/>
      <c r="AA1535" s="94"/>
    </row>
    <row r="1536" spans="23:27" hidden="1">
      <c r="W1536" s="96"/>
      <c r="X1536" s="96"/>
      <c r="Y1536" s="95"/>
      <c r="AA1536" s="94"/>
    </row>
    <row r="1537" spans="23:27" hidden="1">
      <c r="W1537" s="96"/>
      <c r="X1537" s="96"/>
      <c r="Y1537" s="95"/>
      <c r="AA1537" s="94"/>
    </row>
    <row r="1538" spans="23:27" hidden="1">
      <c r="W1538" s="96"/>
      <c r="X1538" s="96"/>
      <c r="Y1538" s="95"/>
      <c r="AA1538" s="94"/>
    </row>
    <row r="1539" spans="23:27" hidden="1">
      <c r="W1539" s="96"/>
      <c r="X1539" s="96"/>
      <c r="Y1539" s="95"/>
      <c r="AA1539" s="94"/>
    </row>
    <row r="1540" spans="23:27" hidden="1">
      <c r="W1540" s="96"/>
      <c r="X1540" s="96"/>
      <c r="Y1540" s="95"/>
      <c r="AA1540" s="94"/>
    </row>
    <row r="1541" spans="23:27" hidden="1">
      <c r="W1541" s="96"/>
      <c r="X1541" s="96"/>
      <c r="Y1541" s="95"/>
      <c r="AA1541" s="94"/>
    </row>
    <row r="1542" spans="23:27" hidden="1">
      <c r="W1542" s="96"/>
      <c r="X1542" s="96"/>
      <c r="Y1542" s="95"/>
      <c r="AA1542" s="94"/>
    </row>
    <row r="1543" spans="23:27" hidden="1">
      <c r="W1543" s="96"/>
      <c r="X1543" s="96"/>
      <c r="Y1543" s="95"/>
      <c r="AA1543" s="94"/>
    </row>
    <row r="1544" spans="23:27" hidden="1">
      <c r="W1544" s="96"/>
      <c r="X1544" s="96"/>
      <c r="Y1544" s="95"/>
      <c r="AA1544" s="94"/>
    </row>
    <row r="1545" spans="23:27" hidden="1">
      <c r="W1545" s="96"/>
      <c r="X1545" s="96"/>
      <c r="Y1545" s="95"/>
      <c r="AA1545" s="94"/>
    </row>
    <row r="1546" spans="23:27" hidden="1">
      <c r="W1546" s="96"/>
      <c r="X1546" s="96"/>
      <c r="Y1546" s="95"/>
      <c r="AA1546" s="94"/>
    </row>
    <row r="1547" spans="23:27" hidden="1">
      <c r="W1547" s="96"/>
      <c r="X1547" s="96"/>
      <c r="Y1547" s="95"/>
      <c r="AA1547" s="94"/>
    </row>
    <row r="1548" spans="23:27" hidden="1">
      <c r="W1548" s="96"/>
      <c r="X1548" s="96"/>
      <c r="Y1548" s="95"/>
      <c r="AA1548" s="94"/>
    </row>
    <row r="1549" spans="23:27" hidden="1">
      <c r="W1549" s="96"/>
      <c r="X1549" s="96"/>
      <c r="Y1549" s="95"/>
      <c r="AA1549" s="94"/>
    </row>
    <row r="1550" spans="23:27" hidden="1">
      <c r="W1550" s="96"/>
      <c r="X1550" s="96"/>
      <c r="Y1550" s="95"/>
      <c r="AA1550" s="94"/>
    </row>
    <row r="1551" spans="23:27" hidden="1">
      <c r="W1551" s="96"/>
      <c r="X1551" s="96"/>
      <c r="Y1551" s="95"/>
      <c r="AA1551" s="94"/>
    </row>
    <row r="1552" spans="23:27" hidden="1">
      <c r="W1552" s="96"/>
      <c r="X1552" s="96"/>
      <c r="Y1552" s="95"/>
      <c r="AA1552" s="94"/>
    </row>
    <row r="1553" spans="23:27" hidden="1">
      <c r="W1553" s="96"/>
      <c r="X1553" s="96"/>
      <c r="Y1553" s="95"/>
      <c r="AA1553" s="94"/>
    </row>
    <row r="1554" spans="23:27" hidden="1">
      <c r="W1554" s="96"/>
      <c r="X1554" s="96"/>
      <c r="Y1554" s="95"/>
      <c r="AA1554" s="94"/>
    </row>
    <row r="1555" spans="23:27" hidden="1">
      <c r="W1555" s="96"/>
      <c r="X1555" s="96"/>
      <c r="Y1555" s="95"/>
      <c r="AA1555" s="94"/>
    </row>
    <row r="1556" spans="23:27" hidden="1">
      <c r="W1556" s="96"/>
      <c r="X1556" s="96"/>
      <c r="Y1556" s="95"/>
      <c r="AA1556" s="94"/>
    </row>
    <row r="1557" spans="23:27" hidden="1">
      <c r="W1557" s="96"/>
      <c r="X1557" s="96"/>
      <c r="Y1557" s="95"/>
      <c r="AA1557" s="94"/>
    </row>
    <row r="1558" spans="23:27" hidden="1">
      <c r="W1558" s="96"/>
      <c r="X1558" s="96"/>
      <c r="Y1558" s="95"/>
      <c r="AA1558" s="94"/>
    </row>
    <row r="1559" spans="23:27" hidden="1">
      <c r="W1559" s="96"/>
      <c r="X1559" s="96"/>
      <c r="Y1559" s="95"/>
      <c r="AA1559" s="94"/>
    </row>
    <row r="1560" spans="23:27" hidden="1">
      <c r="W1560" s="96"/>
      <c r="X1560" s="96"/>
      <c r="Y1560" s="95"/>
      <c r="AA1560" s="94"/>
    </row>
    <row r="1561" spans="23:27" hidden="1">
      <c r="W1561" s="96"/>
      <c r="X1561" s="96"/>
      <c r="Y1561" s="95"/>
      <c r="AA1561" s="94"/>
    </row>
    <row r="1562" spans="23:27" hidden="1">
      <c r="W1562" s="96"/>
      <c r="X1562" s="96"/>
      <c r="Y1562" s="95"/>
      <c r="AA1562" s="94"/>
    </row>
    <row r="1563" spans="23:27" hidden="1">
      <c r="W1563" s="96"/>
      <c r="X1563" s="96"/>
      <c r="Y1563" s="95"/>
      <c r="AA1563" s="94"/>
    </row>
    <row r="1564" spans="23:27" hidden="1">
      <c r="W1564" s="96"/>
      <c r="X1564" s="96"/>
      <c r="Y1564" s="95"/>
      <c r="AA1564" s="94"/>
    </row>
    <row r="1565" spans="23:27" hidden="1">
      <c r="W1565" s="96"/>
      <c r="X1565" s="96"/>
      <c r="Y1565" s="95"/>
      <c r="AA1565" s="94"/>
    </row>
    <row r="1566" spans="23:27" hidden="1">
      <c r="W1566" s="96"/>
      <c r="X1566" s="96"/>
      <c r="Y1566" s="95"/>
      <c r="AA1566" s="94"/>
    </row>
    <row r="1567" spans="23:27" hidden="1">
      <c r="W1567" s="96"/>
      <c r="X1567" s="96"/>
      <c r="Y1567" s="95"/>
      <c r="AA1567" s="94"/>
    </row>
    <row r="1568" spans="23:27" hidden="1">
      <c r="W1568" s="96"/>
      <c r="X1568" s="96"/>
      <c r="Y1568" s="95"/>
      <c r="AA1568" s="94"/>
    </row>
    <row r="1569" spans="23:27" hidden="1">
      <c r="W1569" s="96"/>
      <c r="X1569" s="96"/>
      <c r="Y1569" s="95"/>
      <c r="AA1569" s="94"/>
    </row>
    <row r="1570" spans="23:27" hidden="1">
      <c r="W1570" s="96"/>
      <c r="X1570" s="96"/>
      <c r="Y1570" s="95"/>
      <c r="AA1570" s="94"/>
    </row>
    <row r="1571" spans="23:27" hidden="1">
      <c r="W1571" s="96"/>
      <c r="X1571" s="96"/>
      <c r="Y1571" s="95"/>
      <c r="AA1571" s="94"/>
    </row>
    <row r="1572" spans="23:27" hidden="1">
      <c r="W1572" s="96"/>
      <c r="X1572" s="96"/>
      <c r="Y1572" s="95"/>
      <c r="AA1572" s="94"/>
    </row>
    <row r="1573" spans="23:27" hidden="1">
      <c r="W1573" s="96"/>
      <c r="X1573" s="96"/>
      <c r="Y1573" s="95"/>
      <c r="AA1573" s="94"/>
    </row>
    <row r="1574" spans="23:27" hidden="1">
      <c r="W1574" s="96"/>
      <c r="X1574" s="96"/>
      <c r="Y1574" s="95"/>
      <c r="AA1574" s="94"/>
    </row>
    <row r="1575" spans="23:27" hidden="1">
      <c r="W1575" s="96"/>
      <c r="X1575" s="96"/>
      <c r="Y1575" s="95"/>
      <c r="AA1575" s="94"/>
    </row>
    <row r="1576" spans="23:27" hidden="1">
      <c r="W1576" s="96"/>
      <c r="X1576" s="96"/>
      <c r="Y1576" s="95"/>
      <c r="AA1576" s="94"/>
    </row>
    <row r="1577" spans="23:27" hidden="1">
      <c r="W1577" s="96"/>
      <c r="X1577" s="96"/>
      <c r="Y1577" s="95"/>
      <c r="AA1577" s="94"/>
    </row>
    <row r="1578" spans="23:27" hidden="1">
      <c r="W1578" s="96"/>
      <c r="X1578" s="96"/>
      <c r="Y1578" s="95"/>
      <c r="AA1578" s="94"/>
    </row>
    <row r="1579" spans="23:27" hidden="1">
      <c r="W1579" s="96"/>
      <c r="X1579" s="96"/>
      <c r="Y1579" s="95"/>
      <c r="AA1579" s="94"/>
    </row>
    <row r="1580" spans="23:27" hidden="1">
      <c r="W1580" s="96"/>
      <c r="X1580" s="96"/>
      <c r="Y1580" s="95"/>
      <c r="AA1580" s="94"/>
    </row>
    <row r="1581" spans="23:27" hidden="1">
      <c r="W1581" s="96"/>
      <c r="X1581" s="96"/>
      <c r="Y1581" s="95"/>
      <c r="AA1581" s="94"/>
    </row>
    <row r="1582" spans="23:27" hidden="1">
      <c r="W1582" s="96"/>
      <c r="X1582" s="96"/>
      <c r="Y1582" s="95"/>
      <c r="AA1582" s="94"/>
    </row>
    <row r="1583" spans="23:27" hidden="1">
      <c r="W1583" s="96"/>
      <c r="X1583" s="96"/>
      <c r="Y1583" s="95"/>
      <c r="AA1583" s="94"/>
    </row>
    <row r="1584" spans="23:27" hidden="1">
      <c r="W1584" s="96"/>
      <c r="X1584" s="96"/>
      <c r="Y1584" s="95"/>
      <c r="AA1584" s="94"/>
    </row>
    <row r="1585" spans="23:27" hidden="1">
      <c r="W1585" s="96"/>
      <c r="X1585" s="96"/>
      <c r="Y1585" s="95"/>
      <c r="AA1585" s="94"/>
    </row>
    <row r="1586" spans="23:27" hidden="1">
      <c r="W1586" s="96"/>
      <c r="X1586" s="96"/>
      <c r="Y1586" s="95"/>
      <c r="AA1586" s="94"/>
    </row>
    <row r="1587" spans="23:27" hidden="1">
      <c r="W1587" s="96"/>
      <c r="X1587" s="96"/>
      <c r="Y1587" s="95"/>
      <c r="AA1587" s="94"/>
    </row>
    <row r="1588" spans="23:27" hidden="1">
      <c r="W1588" s="96"/>
      <c r="X1588" s="96"/>
      <c r="Y1588" s="95"/>
      <c r="AA1588" s="94"/>
    </row>
    <row r="1589" spans="23:27" hidden="1">
      <c r="W1589" s="96"/>
      <c r="X1589" s="96"/>
      <c r="Y1589" s="95"/>
      <c r="AA1589" s="94"/>
    </row>
    <row r="1590" spans="23:27" hidden="1">
      <c r="W1590" s="96"/>
      <c r="X1590" s="96"/>
      <c r="Y1590" s="95"/>
      <c r="AA1590" s="94"/>
    </row>
    <row r="1591" spans="23:27" hidden="1">
      <c r="W1591" s="96"/>
      <c r="X1591" s="96"/>
      <c r="Y1591" s="95"/>
      <c r="AA1591" s="94"/>
    </row>
    <row r="1592" spans="23:27" hidden="1">
      <c r="W1592" s="96"/>
      <c r="X1592" s="96"/>
      <c r="Y1592" s="95"/>
      <c r="AA1592" s="94"/>
    </row>
    <row r="1593" spans="23:27" hidden="1">
      <c r="W1593" s="96"/>
      <c r="X1593" s="96"/>
      <c r="Y1593" s="95"/>
      <c r="AA1593" s="94"/>
    </row>
    <row r="1594" spans="23:27" hidden="1">
      <c r="W1594" s="96"/>
      <c r="X1594" s="96"/>
      <c r="Y1594" s="95"/>
      <c r="AA1594" s="94"/>
    </row>
    <row r="1595" spans="23:27" hidden="1">
      <c r="W1595" s="96"/>
      <c r="X1595" s="96"/>
      <c r="Y1595" s="95"/>
      <c r="AA1595" s="94"/>
    </row>
    <row r="1596" spans="23:27" hidden="1">
      <c r="W1596" s="96"/>
      <c r="X1596" s="96"/>
      <c r="Y1596" s="95"/>
      <c r="AA1596" s="94"/>
    </row>
    <row r="1597" spans="23:27" hidden="1">
      <c r="W1597" s="96"/>
      <c r="X1597" s="96"/>
      <c r="Y1597" s="95"/>
      <c r="AA1597" s="94"/>
    </row>
    <row r="1598" spans="23:27" hidden="1">
      <c r="W1598" s="96"/>
      <c r="X1598" s="96"/>
      <c r="Y1598" s="95"/>
      <c r="AA1598" s="94"/>
    </row>
    <row r="1599" spans="23:27" hidden="1">
      <c r="W1599" s="96"/>
      <c r="X1599" s="96"/>
      <c r="Y1599" s="95"/>
      <c r="AA1599" s="94"/>
    </row>
    <row r="1600" spans="23:27" hidden="1">
      <c r="W1600" s="96"/>
      <c r="X1600" s="96"/>
      <c r="Y1600" s="95"/>
      <c r="AA1600" s="94"/>
    </row>
    <row r="1601" spans="22:40" hidden="1">
      <c r="W1601" s="96"/>
      <c r="X1601" s="96"/>
      <c r="Y1601" s="95"/>
      <c r="AA1601" s="94"/>
    </row>
    <row r="1602" spans="22:40" hidden="1">
      <c r="W1602" s="96"/>
      <c r="X1602" s="96"/>
      <c r="Y1602" s="95"/>
      <c r="AA1602" s="94"/>
    </row>
    <row r="1603" spans="22:40" hidden="1"/>
    <row r="1604" spans="22:40" hidden="1"/>
    <row r="1605" spans="22:40" hidden="1">
      <c r="W1605" s="35"/>
    </row>
    <row r="1606" spans="22:40" hidden="1">
      <c r="W1606" s="35"/>
    </row>
    <row r="1607" spans="22:40" hidden="1">
      <c r="W1607" s="92"/>
    </row>
    <row r="1608" spans="22:40" hidden="1">
      <c r="W1608" s="92"/>
    </row>
    <row r="1609" spans="22:40" hidden="1"/>
    <row r="1610" spans="22:40" hidden="1">
      <c r="AE1610" s="36"/>
      <c r="AF1610" s="36"/>
      <c r="AG1610" s="36"/>
      <c r="AH1610" s="36"/>
      <c r="AI1610" s="36"/>
      <c r="AJ1610" s="36"/>
      <c r="AK1610" s="36"/>
      <c r="AL1610" s="36"/>
      <c r="AM1610" s="36"/>
      <c r="AN1610" s="36"/>
    </row>
    <row r="1611" spans="22:40" hidden="1">
      <c r="V1611" s="36"/>
      <c r="W1611" s="36"/>
      <c r="X1611" s="36"/>
      <c r="Y1611" s="36"/>
      <c r="Z1611" s="36"/>
      <c r="AA1611" s="36"/>
      <c r="AD1611" s="89"/>
      <c r="AE1611" s="93"/>
      <c r="AF1611" s="93"/>
      <c r="AG1611" s="93"/>
      <c r="AH1611" s="93"/>
      <c r="AI1611" s="93"/>
      <c r="AJ1611" s="93"/>
      <c r="AK1611" s="93"/>
      <c r="AL1611" s="93"/>
      <c r="AM1611" s="93"/>
      <c r="AN1611" s="93"/>
    </row>
    <row r="1612" spans="22:40" hidden="1"/>
    <row r="1613" spans="22:40" hidden="1">
      <c r="W1613" s="94"/>
      <c r="X1613" s="94"/>
      <c r="Y1613" s="95"/>
      <c r="AA1613" s="94"/>
      <c r="AD1613" s="94"/>
    </row>
    <row r="1614" spans="22:40" hidden="1">
      <c r="W1614" s="94"/>
      <c r="X1614" s="94"/>
      <c r="Y1614" s="95"/>
      <c r="AA1614" s="94"/>
      <c r="AD1614" s="94"/>
    </row>
    <row r="1615" spans="22:40" hidden="1">
      <c r="W1615" s="94"/>
      <c r="X1615" s="94"/>
      <c r="Y1615" s="95"/>
      <c r="AA1615" s="94"/>
      <c r="AE1615" s="94"/>
      <c r="AF1615" s="94"/>
      <c r="AG1615" s="94"/>
      <c r="AH1615" s="94"/>
      <c r="AI1615" s="94"/>
      <c r="AJ1615" s="94"/>
      <c r="AK1615" s="94"/>
      <c r="AL1615" s="94"/>
      <c r="AM1615" s="94"/>
      <c r="AN1615" s="94"/>
    </row>
    <row r="1616" spans="22:40" hidden="1">
      <c r="W1616" s="94"/>
      <c r="X1616" s="94"/>
      <c r="Y1616" s="95"/>
      <c r="AA1616" s="94"/>
      <c r="AE1616" s="94"/>
      <c r="AF1616" s="94"/>
      <c r="AG1616" s="94"/>
      <c r="AH1616" s="94"/>
      <c r="AI1616" s="94"/>
      <c r="AJ1616" s="94"/>
      <c r="AK1616" s="94"/>
      <c r="AL1616" s="94"/>
      <c r="AM1616" s="94"/>
      <c r="AN1616" s="94"/>
    </row>
    <row r="1617" spans="22:40" hidden="1">
      <c r="W1617" s="94"/>
      <c r="X1617" s="94"/>
      <c r="Y1617" s="95"/>
      <c r="AA1617" s="94"/>
      <c r="AE1617" s="94"/>
      <c r="AF1617" s="94"/>
      <c r="AG1617" s="94"/>
      <c r="AH1617" s="94"/>
      <c r="AI1617" s="94"/>
      <c r="AJ1617" s="94"/>
      <c r="AK1617" s="94"/>
      <c r="AL1617" s="94"/>
      <c r="AM1617" s="94"/>
      <c r="AN1617" s="94"/>
    </row>
    <row r="1618" spans="22:40">
      <c r="W1618" s="94"/>
      <c r="X1618" s="94"/>
      <c r="Y1618" s="95"/>
      <c r="AA1618" s="94"/>
    </row>
    <row r="1619" spans="22:40">
      <c r="W1619" s="94"/>
      <c r="X1619" s="94"/>
      <c r="Y1619" s="95"/>
      <c r="AA1619" s="94"/>
      <c r="AD1619" s="94"/>
      <c r="AE1619" s="94"/>
      <c r="AF1619" s="94"/>
      <c r="AG1619" s="94"/>
      <c r="AH1619" s="94"/>
      <c r="AI1619" s="94"/>
      <c r="AJ1619" s="94"/>
      <c r="AK1619" s="94"/>
      <c r="AL1619" s="94"/>
      <c r="AM1619" s="94"/>
      <c r="AN1619" s="94"/>
    </row>
    <row r="1620" spans="22:40">
      <c r="W1620" s="94"/>
      <c r="X1620" s="94"/>
      <c r="Y1620" s="95"/>
      <c r="AA1620" s="94"/>
    </row>
    <row r="1621" spans="22:40">
      <c r="W1621" s="94"/>
      <c r="X1621" s="94"/>
      <c r="Y1621" s="95"/>
      <c r="AA1621" s="94"/>
    </row>
    <row r="1622" spans="22:40">
      <c r="W1622" s="94"/>
      <c r="X1622" s="94"/>
      <c r="Y1622" s="95"/>
      <c r="AA1622" s="94"/>
    </row>
    <row r="1623" spans="22:40">
      <c r="V1623" s="91"/>
    </row>
    <row r="1625" spans="22:40">
      <c r="V1625" s="36"/>
      <c r="W1625" s="36"/>
      <c r="X1625" s="36"/>
      <c r="Y1625" s="36"/>
      <c r="Z1625" s="36"/>
      <c r="AA1625" s="36"/>
    </row>
    <row r="1627" spans="22:40">
      <c r="W1627" s="96"/>
      <c r="X1627" s="96"/>
      <c r="Y1627" s="95"/>
      <c r="AA1627" s="94"/>
    </row>
    <row r="1628" spans="22:40">
      <c r="W1628" s="96"/>
      <c r="X1628" s="96"/>
      <c r="Y1628" s="95"/>
      <c r="AA1628" s="94"/>
    </row>
    <row r="1629" spans="22:40">
      <c r="W1629" s="96"/>
      <c r="X1629" s="96"/>
      <c r="Y1629" s="95"/>
      <c r="AA1629" s="94"/>
    </row>
    <row r="1630" spans="22:40">
      <c r="W1630" s="96"/>
      <c r="X1630" s="96"/>
      <c r="Y1630" s="95"/>
      <c r="AA1630" s="94"/>
    </row>
    <row r="1631" spans="22:40">
      <c r="W1631" s="96"/>
      <c r="X1631" s="96"/>
      <c r="Y1631" s="95"/>
      <c r="AA1631" s="94"/>
    </row>
    <row r="1632" spans="22:40">
      <c r="W1632" s="96"/>
      <c r="X1632" s="96"/>
      <c r="Y1632" s="95"/>
      <c r="AA1632" s="94"/>
    </row>
    <row r="1633" spans="23:27">
      <c r="W1633" s="96"/>
      <c r="X1633" s="96"/>
      <c r="Y1633" s="95"/>
      <c r="AA1633" s="94"/>
    </row>
    <row r="1634" spans="23:27">
      <c r="W1634" s="96"/>
      <c r="X1634" s="96"/>
      <c r="Y1634" s="95"/>
      <c r="AA1634" s="94"/>
    </row>
    <row r="1635" spans="23:27">
      <c r="W1635" s="96"/>
      <c r="X1635" s="96"/>
      <c r="Y1635" s="95"/>
      <c r="AA1635" s="94"/>
    </row>
    <row r="1636" spans="23:27">
      <c r="W1636" s="96"/>
      <c r="X1636" s="96"/>
      <c r="Y1636" s="95"/>
      <c r="AA1636" s="94"/>
    </row>
    <row r="1637" spans="23:27">
      <c r="W1637" s="96"/>
      <c r="X1637" s="96"/>
      <c r="Y1637" s="95"/>
      <c r="AA1637" s="94"/>
    </row>
    <row r="1638" spans="23:27">
      <c r="W1638" s="96"/>
      <c r="X1638" s="96"/>
      <c r="Y1638" s="95"/>
      <c r="AA1638" s="94"/>
    </row>
    <row r="1639" spans="23:27">
      <c r="W1639" s="96"/>
      <c r="X1639" s="96"/>
      <c r="Y1639" s="95"/>
      <c r="AA1639" s="94"/>
    </row>
    <row r="1640" spans="23:27">
      <c r="W1640" s="96"/>
      <c r="X1640" s="96"/>
      <c r="Y1640" s="95"/>
      <c r="AA1640" s="94"/>
    </row>
    <row r="1641" spans="23:27">
      <c r="W1641" s="96"/>
      <c r="X1641" s="96"/>
      <c r="Y1641" s="95"/>
      <c r="AA1641" s="94"/>
    </row>
    <row r="1642" spans="23:27">
      <c r="W1642" s="96"/>
      <c r="X1642" s="96"/>
      <c r="Y1642" s="95"/>
      <c r="AA1642" s="94"/>
    </row>
    <row r="1643" spans="23:27">
      <c r="W1643" s="96"/>
      <c r="X1643" s="96"/>
      <c r="Y1643" s="95"/>
      <c r="AA1643" s="94"/>
    </row>
    <row r="1644" spans="23:27">
      <c r="W1644" s="96"/>
      <c r="X1644" s="96"/>
      <c r="Y1644" s="95"/>
      <c r="AA1644" s="94"/>
    </row>
    <row r="1645" spans="23:27">
      <c r="W1645" s="96"/>
      <c r="X1645" s="96"/>
      <c r="Y1645" s="95"/>
      <c r="AA1645" s="94"/>
    </row>
    <row r="1646" spans="23:27">
      <c r="W1646" s="96"/>
      <c r="X1646" s="96"/>
      <c r="Y1646" s="95"/>
      <c r="AA1646" s="94"/>
    </row>
    <row r="1647" spans="23:27">
      <c r="W1647" s="96"/>
      <c r="X1647" s="96"/>
      <c r="Y1647" s="95"/>
      <c r="AA1647" s="94"/>
    </row>
    <row r="1648" spans="23:27">
      <c r="W1648" s="96"/>
      <c r="X1648" s="96"/>
      <c r="Y1648" s="95"/>
      <c r="AA1648" s="94"/>
    </row>
    <row r="1649" spans="23:27">
      <c r="W1649" s="96"/>
      <c r="X1649" s="96"/>
      <c r="Y1649" s="95"/>
      <c r="AA1649" s="94"/>
    </row>
    <row r="1650" spans="23:27">
      <c r="W1650" s="96"/>
      <c r="X1650" s="96"/>
      <c r="Y1650" s="95"/>
      <c r="AA1650" s="94"/>
    </row>
    <row r="1651" spans="23:27">
      <c r="W1651" s="96"/>
      <c r="X1651" s="96"/>
      <c r="Y1651" s="95"/>
      <c r="AA1651" s="94"/>
    </row>
    <row r="1652" spans="23:27">
      <c r="W1652" s="96"/>
      <c r="X1652" s="96"/>
      <c r="Y1652" s="95"/>
      <c r="AA1652" s="94"/>
    </row>
    <row r="1653" spans="23:27">
      <c r="W1653" s="96"/>
      <c r="X1653" s="96"/>
      <c r="Y1653" s="95"/>
      <c r="AA1653" s="94"/>
    </row>
    <row r="1654" spans="23:27">
      <c r="W1654" s="96"/>
      <c r="X1654" s="96"/>
      <c r="Y1654" s="95"/>
      <c r="AA1654" s="94"/>
    </row>
    <row r="1655" spans="23:27">
      <c r="W1655" s="96"/>
      <c r="X1655" s="96"/>
      <c r="Y1655" s="95"/>
      <c r="AA1655" s="94"/>
    </row>
    <row r="1656" spans="23:27">
      <c r="W1656" s="96"/>
      <c r="X1656" s="96"/>
      <c r="Y1656" s="95"/>
      <c r="AA1656" s="94"/>
    </row>
    <row r="1657" spans="23:27">
      <c r="W1657" s="96"/>
      <c r="X1657" s="96"/>
      <c r="Y1657" s="95"/>
      <c r="AA1657" s="94"/>
    </row>
    <row r="1658" spans="23:27">
      <c r="W1658" s="96"/>
      <c r="X1658" s="96"/>
      <c r="Y1658" s="95"/>
      <c r="AA1658" s="94"/>
    </row>
    <row r="1659" spans="23:27">
      <c r="W1659" s="96"/>
      <c r="X1659" s="96"/>
      <c r="Y1659" s="95"/>
      <c r="AA1659" s="94"/>
    </row>
    <row r="1660" spans="23:27">
      <c r="W1660" s="96"/>
      <c r="X1660" s="96"/>
      <c r="Y1660" s="95"/>
      <c r="AA1660" s="94"/>
    </row>
    <row r="1661" spans="23:27">
      <c r="W1661" s="96"/>
      <c r="X1661" s="96"/>
      <c r="Y1661" s="95"/>
      <c r="AA1661" s="94"/>
    </row>
    <row r="1662" spans="23:27">
      <c r="W1662" s="96"/>
      <c r="X1662" s="96"/>
      <c r="Y1662" s="95"/>
      <c r="AA1662" s="94"/>
    </row>
    <row r="1663" spans="23:27">
      <c r="W1663" s="96"/>
      <c r="X1663" s="96"/>
      <c r="Y1663" s="95"/>
      <c r="AA1663" s="94"/>
    </row>
    <row r="1664" spans="23:27">
      <c r="W1664" s="96"/>
      <c r="X1664" s="96"/>
      <c r="Y1664" s="95"/>
      <c r="AA1664" s="94"/>
    </row>
    <row r="1665" spans="23:27">
      <c r="W1665" s="96"/>
      <c r="X1665" s="96"/>
      <c r="Y1665" s="95"/>
      <c r="AA1665" s="94"/>
    </row>
    <row r="1666" spans="23:27">
      <c r="W1666" s="96"/>
      <c r="X1666" s="96"/>
      <c r="Y1666" s="95"/>
      <c r="AA1666" s="94"/>
    </row>
    <row r="1667" spans="23:27">
      <c r="W1667" s="96"/>
      <c r="X1667" s="96"/>
      <c r="Y1667" s="95"/>
      <c r="AA1667" s="94"/>
    </row>
    <row r="1668" spans="23:27">
      <c r="W1668" s="96"/>
      <c r="X1668" s="96"/>
      <c r="Y1668" s="95"/>
      <c r="AA1668" s="94"/>
    </row>
    <row r="1669" spans="23:27">
      <c r="W1669" s="96"/>
      <c r="X1669" s="96"/>
      <c r="Y1669" s="95"/>
      <c r="AA1669" s="94"/>
    </row>
    <row r="1670" spans="23:27">
      <c r="W1670" s="96"/>
      <c r="X1670" s="96"/>
      <c r="Y1670" s="95"/>
      <c r="AA1670" s="94"/>
    </row>
    <row r="1671" spans="23:27">
      <c r="W1671" s="96"/>
      <c r="X1671" s="96"/>
      <c r="Y1671" s="95"/>
      <c r="AA1671" s="94"/>
    </row>
    <row r="1672" spans="23:27">
      <c r="W1672" s="96"/>
      <c r="X1672" s="96"/>
      <c r="Y1672" s="95"/>
      <c r="AA1672" s="94"/>
    </row>
    <row r="1673" spans="23:27">
      <c r="W1673" s="96"/>
      <c r="X1673" s="96"/>
      <c r="Y1673" s="95"/>
      <c r="AA1673" s="94"/>
    </row>
    <row r="1674" spans="23:27">
      <c r="W1674" s="96"/>
      <c r="X1674" s="96"/>
      <c r="Y1674" s="95"/>
      <c r="AA1674" s="94"/>
    </row>
    <row r="1675" spans="23:27">
      <c r="W1675" s="96"/>
      <c r="X1675" s="96"/>
      <c r="Y1675" s="95"/>
      <c r="AA1675" s="94"/>
    </row>
    <row r="1676" spans="23:27">
      <c r="W1676" s="96"/>
      <c r="X1676" s="96"/>
      <c r="Y1676" s="95"/>
      <c r="AA1676" s="94"/>
    </row>
    <row r="1677" spans="23:27">
      <c r="W1677" s="96"/>
      <c r="X1677" s="96"/>
      <c r="Y1677" s="95"/>
      <c r="AA1677" s="94"/>
    </row>
    <row r="1678" spans="23:27">
      <c r="W1678" s="96"/>
      <c r="X1678" s="96"/>
      <c r="Y1678" s="95"/>
      <c r="AA1678" s="94"/>
    </row>
    <row r="1679" spans="23:27">
      <c r="W1679" s="96"/>
      <c r="X1679" s="96"/>
      <c r="Y1679" s="95"/>
      <c r="AA1679" s="94"/>
    </row>
    <row r="1680" spans="23:27">
      <c r="W1680" s="96"/>
      <c r="X1680" s="96"/>
      <c r="Y1680" s="95"/>
      <c r="AA1680" s="94"/>
    </row>
    <row r="1681" spans="23:27">
      <c r="W1681" s="96"/>
      <c r="X1681" s="96"/>
      <c r="Y1681" s="95"/>
      <c r="AA1681" s="94"/>
    </row>
    <row r="1682" spans="23:27">
      <c r="W1682" s="96"/>
      <c r="X1682" s="96"/>
      <c r="Y1682" s="95"/>
      <c r="AA1682" s="94"/>
    </row>
    <row r="1683" spans="23:27">
      <c r="W1683" s="96"/>
      <c r="X1683" s="96"/>
      <c r="Y1683" s="95"/>
      <c r="AA1683" s="94"/>
    </row>
    <row r="1684" spans="23:27">
      <c r="W1684" s="96"/>
      <c r="X1684" s="96"/>
      <c r="Y1684" s="95"/>
      <c r="AA1684" s="94"/>
    </row>
    <row r="1685" spans="23:27">
      <c r="W1685" s="96"/>
      <c r="X1685" s="96"/>
      <c r="Y1685" s="95"/>
      <c r="AA1685" s="94"/>
    </row>
    <row r="1686" spans="23:27">
      <c r="W1686" s="96"/>
      <c r="X1686" s="96"/>
      <c r="Y1686" s="95"/>
      <c r="AA1686" s="94"/>
    </row>
    <row r="1687" spans="23:27">
      <c r="W1687" s="96"/>
      <c r="X1687" s="96"/>
      <c r="Y1687" s="95"/>
      <c r="AA1687" s="94"/>
    </row>
    <row r="1688" spans="23:27">
      <c r="W1688" s="96"/>
      <c r="X1688" s="96"/>
      <c r="Y1688" s="95"/>
      <c r="AA1688" s="94"/>
    </row>
    <row r="1689" spans="23:27">
      <c r="W1689" s="96"/>
      <c r="X1689" s="96"/>
      <c r="Y1689" s="95"/>
      <c r="AA1689" s="94"/>
    </row>
    <row r="1690" spans="23:27">
      <c r="W1690" s="96"/>
      <c r="X1690" s="96"/>
      <c r="Y1690" s="95"/>
      <c r="AA1690" s="94"/>
    </row>
    <row r="1691" spans="23:27">
      <c r="W1691" s="96"/>
      <c r="X1691" s="96"/>
      <c r="Y1691" s="95"/>
      <c r="AA1691" s="94"/>
    </row>
    <row r="1692" spans="23:27">
      <c r="W1692" s="96"/>
      <c r="X1692" s="96"/>
      <c r="Y1692" s="95"/>
      <c r="AA1692" s="94"/>
    </row>
    <row r="1693" spans="23:27">
      <c r="W1693" s="96"/>
      <c r="X1693" s="96"/>
      <c r="Y1693" s="95"/>
      <c r="AA1693" s="94"/>
    </row>
    <row r="1694" spans="23:27">
      <c r="W1694" s="96"/>
      <c r="X1694" s="96"/>
      <c r="Y1694" s="95"/>
      <c r="AA1694" s="94"/>
    </row>
    <row r="1695" spans="23:27">
      <c r="W1695" s="96"/>
      <c r="X1695" s="96"/>
      <c r="Y1695" s="95"/>
      <c r="AA1695" s="94"/>
    </row>
    <row r="1696" spans="23:27">
      <c r="W1696" s="96"/>
      <c r="X1696" s="96"/>
      <c r="Y1696" s="95"/>
      <c r="AA1696" s="94"/>
    </row>
    <row r="1697" spans="23:27">
      <c r="W1697" s="96"/>
      <c r="X1697" s="96"/>
      <c r="Y1697" s="95"/>
      <c r="AA1697" s="94"/>
    </row>
    <row r="1698" spans="23:27">
      <c r="W1698" s="96"/>
      <c r="X1698" s="96"/>
      <c r="Y1698" s="95"/>
      <c r="AA1698" s="94"/>
    </row>
    <row r="1699" spans="23:27">
      <c r="W1699" s="96"/>
      <c r="X1699" s="96"/>
      <c r="Y1699" s="95"/>
      <c r="AA1699" s="94"/>
    </row>
    <row r="1700" spans="23:27">
      <c r="W1700" s="96"/>
      <c r="X1700" s="96"/>
      <c r="Y1700" s="95"/>
      <c r="AA1700" s="94"/>
    </row>
    <row r="1701" spans="23:27">
      <c r="W1701" s="96"/>
      <c r="X1701" s="96"/>
      <c r="Y1701" s="95"/>
      <c r="AA1701" s="94"/>
    </row>
    <row r="1702" spans="23:27">
      <c r="W1702" s="96"/>
      <c r="X1702" s="96"/>
      <c r="Y1702" s="95"/>
      <c r="AA1702" s="94"/>
    </row>
    <row r="1703" spans="23:27">
      <c r="W1703" s="96"/>
      <c r="X1703" s="96"/>
      <c r="Y1703" s="95"/>
      <c r="AA1703" s="94"/>
    </row>
    <row r="1704" spans="23:27">
      <c r="W1704" s="96"/>
      <c r="X1704" s="96"/>
      <c r="Y1704" s="95"/>
      <c r="AA1704" s="94"/>
    </row>
    <row r="1705" spans="23:27">
      <c r="W1705" s="96"/>
      <c r="X1705" s="96"/>
      <c r="Y1705" s="95"/>
      <c r="AA1705" s="94"/>
    </row>
    <row r="1706" spans="23:27">
      <c r="W1706" s="96"/>
      <c r="X1706" s="96"/>
      <c r="Y1706" s="95"/>
      <c r="AA1706" s="94"/>
    </row>
    <row r="1707" spans="23:27">
      <c r="W1707" s="96"/>
      <c r="X1707" s="96"/>
      <c r="Y1707" s="95"/>
      <c r="AA1707" s="94"/>
    </row>
    <row r="1708" spans="23:27">
      <c r="W1708" s="96"/>
      <c r="X1708" s="96"/>
      <c r="Y1708" s="95"/>
      <c r="AA1708" s="94"/>
    </row>
    <row r="1709" spans="23:27">
      <c r="W1709" s="96"/>
      <c r="X1709" s="96"/>
      <c r="Y1709" s="95"/>
      <c r="AA1709" s="94"/>
    </row>
    <row r="1710" spans="23:27">
      <c r="W1710" s="96"/>
      <c r="X1710" s="96"/>
      <c r="Y1710" s="95"/>
      <c r="AA1710" s="94"/>
    </row>
    <row r="1711" spans="23:27">
      <c r="W1711" s="96"/>
      <c r="X1711" s="96"/>
      <c r="Y1711" s="95"/>
      <c r="AA1711" s="94"/>
    </row>
    <row r="1712" spans="23:27">
      <c r="W1712" s="96"/>
      <c r="X1712" s="96"/>
      <c r="Y1712" s="95"/>
      <c r="AA1712" s="94"/>
    </row>
    <row r="1713" spans="23:27">
      <c r="W1713" s="96"/>
      <c r="X1713" s="96"/>
      <c r="Y1713" s="95"/>
      <c r="AA1713" s="94"/>
    </row>
    <row r="1714" spans="23:27">
      <c r="W1714" s="96"/>
      <c r="X1714" s="96"/>
      <c r="Y1714" s="95"/>
      <c r="AA1714" s="94"/>
    </row>
    <row r="1715" spans="23:27">
      <c r="W1715" s="96"/>
      <c r="X1715" s="96"/>
      <c r="Y1715" s="95"/>
      <c r="AA1715" s="94"/>
    </row>
    <row r="1716" spans="23:27">
      <c r="W1716" s="96"/>
      <c r="X1716" s="96"/>
      <c r="Y1716" s="95"/>
      <c r="AA1716" s="94"/>
    </row>
    <row r="1717" spans="23:27">
      <c r="W1717" s="96"/>
      <c r="X1717" s="96"/>
      <c r="Y1717" s="95"/>
      <c r="AA1717" s="94"/>
    </row>
    <row r="1718" spans="23:27">
      <c r="W1718" s="96"/>
      <c r="X1718" s="96"/>
      <c r="Y1718" s="95"/>
      <c r="AA1718" s="94"/>
    </row>
    <row r="1719" spans="23:27">
      <c r="W1719" s="96"/>
      <c r="X1719" s="96"/>
      <c r="Y1719" s="95"/>
      <c r="AA1719" s="94"/>
    </row>
    <row r="1720" spans="23:27">
      <c r="W1720" s="96"/>
      <c r="X1720" s="96"/>
      <c r="Y1720" s="95"/>
      <c r="AA1720" s="94"/>
    </row>
    <row r="1721" spans="23:27">
      <c r="W1721" s="96"/>
      <c r="X1721" s="96"/>
      <c r="Y1721" s="95"/>
      <c r="AA1721" s="94"/>
    </row>
    <row r="1722" spans="23:27">
      <c r="W1722" s="96"/>
      <c r="X1722" s="96"/>
      <c r="Y1722" s="95"/>
      <c r="AA1722" s="94"/>
    </row>
    <row r="1723" spans="23:27">
      <c r="W1723" s="96"/>
      <c r="X1723" s="96"/>
      <c r="Y1723" s="95"/>
      <c r="AA1723" s="94"/>
    </row>
    <row r="1724" spans="23:27">
      <c r="W1724" s="96"/>
      <c r="X1724" s="96"/>
      <c r="Y1724" s="95"/>
      <c r="AA1724" s="94"/>
    </row>
    <row r="1725" spans="23:27">
      <c r="W1725" s="96"/>
      <c r="X1725" s="96"/>
      <c r="Y1725" s="95"/>
      <c r="AA1725" s="94"/>
    </row>
    <row r="1726" spans="23:27">
      <c r="W1726" s="96"/>
      <c r="X1726" s="96"/>
      <c r="Y1726" s="95"/>
      <c r="AA1726" s="94"/>
    </row>
    <row r="1727" spans="23:27">
      <c r="W1727" s="96"/>
      <c r="X1727" s="96"/>
      <c r="Y1727" s="95"/>
      <c r="AA1727" s="94"/>
    </row>
    <row r="1728" spans="23:27">
      <c r="W1728" s="96"/>
      <c r="X1728" s="96"/>
      <c r="Y1728" s="95"/>
      <c r="AA1728" s="94"/>
    </row>
    <row r="1729" spans="23:27">
      <c r="W1729" s="96"/>
      <c r="X1729" s="96"/>
      <c r="Y1729" s="95"/>
      <c r="AA1729" s="94"/>
    </row>
    <row r="1730" spans="23:27">
      <c r="W1730" s="96"/>
      <c r="X1730" s="96"/>
      <c r="Y1730" s="95"/>
      <c r="AA1730" s="94"/>
    </row>
    <row r="1731" spans="23:27">
      <c r="W1731" s="96"/>
      <c r="X1731" s="96"/>
      <c r="Y1731" s="95"/>
      <c r="AA1731" s="94"/>
    </row>
    <row r="1732" spans="23:27">
      <c r="W1732" s="96"/>
      <c r="X1732" s="96"/>
      <c r="Y1732" s="95"/>
      <c r="AA1732" s="94"/>
    </row>
    <row r="1733" spans="23:27">
      <c r="W1733" s="96"/>
      <c r="X1733" s="96"/>
      <c r="Y1733" s="95"/>
      <c r="AA1733" s="94"/>
    </row>
    <row r="1734" spans="23:27">
      <c r="W1734" s="96"/>
      <c r="X1734" s="96"/>
      <c r="Y1734" s="95"/>
      <c r="AA1734" s="94"/>
    </row>
    <row r="1735" spans="23:27">
      <c r="W1735" s="96"/>
      <c r="X1735" s="96"/>
      <c r="Y1735" s="95"/>
      <c r="AA1735" s="94"/>
    </row>
    <row r="1736" spans="23:27">
      <c r="W1736" s="96"/>
      <c r="X1736" s="96"/>
      <c r="Y1736" s="95"/>
      <c r="AA1736" s="94"/>
    </row>
    <row r="1737" spans="23:27">
      <c r="W1737" s="96"/>
      <c r="X1737" s="96"/>
      <c r="Y1737" s="95"/>
      <c r="AA1737" s="94"/>
    </row>
    <row r="1738" spans="23:27">
      <c r="W1738" s="96"/>
      <c r="X1738" s="96"/>
      <c r="Y1738" s="95"/>
      <c r="AA1738" s="94"/>
    </row>
    <row r="1739" spans="23:27">
      <c r="W1739" s="96"/>
      <c r="X1739" s="96"/>
      <c r="Y1739" s="95"/>
      <c r="AA1739" s="94"/>
    </row>
    <row r="1740" spans="23:27">
      <c r="W1740" s="96"/>
      <c r="X1740" s="96"/>
      <c r="Y1740" s="95"/>
      <c r="AA1740" s="94"/>
    </row>
    <row r="1741" spans="23:27">
      <c r="W1741" s="96"/>
      <c r="X1741" s="96"/>
      <c r="Y1741" s="95"/>
      <c r="AA1741" s="94"/>
    </row>
    <row r="1742" spans="23:27">
      <c r="W1742" s="96"/>
      <c r="X1742" s="96"/>
      <c r="Y1742" s="95"/>
      <c r="AA1742" s="94"/>
    </row>
    <row r="1743" spans="23:27">
      <c r="W1743" s="96"/>
      <c r="X1743" s="96"/>
      <c r="Y1743" s="95"/>
      <c r="AA1743" s="94"/>
    </row>
    <row r="1744" spans="23:27">
      <c r="W1744" s="96"/>
      <c r="X1744" s="96"/>
      <c r="Y1744" s="95"/>
      <c r="AA1744" s="94"/>
    </row>
    <row r="1745" spans="23:27">
      <c r="W1745" s="96"/>
      <c r="X1745" s="96"/>
      <c r="Y1745" s="95"/>
      <c r="AA1745" s="94"/>
    </row>
    <row r="1746" spans="23:27">
      <c r="W1746" s="96"/>
      <c r="X1746" s="96"/>
      <c r="Y1746" s="95"/>
      <c r="AA1746" s="94"/>
    </row>
  </sheetData>
  <mergeCells count="5">
    <mergeCell ref="D29:M29"/>
    <mergeCell ref="D20:H20"/>
    <mergeCell ref="D3:D7"/>
    <mergeCell ref="D8:D10"/>
    <mergeCell ref="D12:D14"/>
  </mergeCells>
  <conditionalFormatting sqref="F3:L5">
    <cfRule type="expression" dxfId="56" priority="27">
      <formula>AND(OR(PPIRRU_DispIncr="Top",PPIRRU_DispIncr="Both"),PPIRRU_Increments=5)</formula>
    </cfRule>
  </conditionalFormatting>
  <conditionalFormatting sqref="F12:L12">
    <cfRule type="expression" dxfId="55" priority="25">
      <formula>AND(OR(PPIRRU_Increments=3,PPIRRU_Increments=2,PPIRRU_Increments=1),OR(PPIRRU_DispIncr="Bottom",PPIRRU_DispIncr="Both"))</formula>
    </cfRule>
  </conditionalFormatting>
  <conditionalFormatting sqref="F12:L13">
    <cfRule type="expression" dxfId="54" priority="24">
      <formula>AND(PPIRRU_Increments=4,OR(PPIRRU_DispIncr="Bottom",PPIRRU_DispIncr="Both"))</formula>
    </cfRule>
  </conditionalFormatting>
  <conditionalFormatting sqref="F12:L14">
    <cfRule type="expression" dxfId="53" priority="23">
      <formula>AND(PPIRRU_Increments=5,OR(PPIRRU_DispIncr="Bottom",PPIRRU_DispIncr="Both"))</formula>
    </cfRule>
  </conditionalFormatting>
  <conditionalFormatting sqref="F10:L10">
    <cfRule type="expression" dxfId="52" priority="22">
      <formula>AND(OR(PPIRRU_Increments=3,PPIRRU_Increments=2,PPIRRU_Increments=1),OR(PPIRRU_DispIncr="Top",PPIRRU_DispIncr="Both"))</formula>
    </cfRule>
  </conditionalFormatting>
  <conditionalFormatting sqref="F9:L10">
    <cfRule type="expression" dxfId="51" priority="21">
      <formula>AND(PPIRRU_Increments=4,OR(PPIRRU_DispIncr="Top",PPIRRU_DispIncr="Both"))</formula>
    </cfRule>
  </conditionalFormatting>
  <conditionalFormatting sqref="F8:L10">
    <cfRule type="expression" dxfId="50" priority="18">
      <formula>PPIRRU_Increments=0</formula>
    </cfRule>
    <cfRule type="expression" dxfId="49" priority="19">
      <formula>PPIRRU_DispIncr="Bottom"</formula>
    </cfRule>
    <cfRule type="expression" dxfId="48" priority="20">
      <formula>AND(PPIRRU_Increments=5,OR(PPIRRU_DispIncr="Top",PPIRRU_DispIncr="Both"))</formula>
    </cfRule>
  </conditionalFormatting>
  <conditionalFormatting sqref="F7:L9">
    <cfRule type="expression" dxfId="47" priority="17">
      <formula>AND(OR(PPIRRU_DispIncr="Top",PPIRRU_DispIncr="Both"),PPIRRU_Increments=1)</formula>
    </cfRule>
  </conditionalFormatting>
  <conditionalFormatting sqref="F6:L8">
    <cfRule type="expression" dxfId="46" priority="16">
      <formula>AND(OR(PPIRRU_DispIncr="Top",PPIRRU_DispIncr="Both"),PPIRRU_Increments=2)</formula>
    </cfRule>
  </conditionalFormatting>
  <conditionalFormatting sqref="F5:L7">
    <cfRule type="expression" dxfId="45" priority="15">
      <formula>AND(OR(PPIRRU_DispIncr="Top",PPIRRU_DispIncr="Both"),PPIRRU_Increments=3)</formula>
    </cfRule>
  </conditionalFormatting>
  <conditionalFormatting sqref="F4:L6">
    <cfRule type="expression" dxfId="44" priority="14">
      <formula>AND(OR(PPIRRU_DispIncr="Top",PPIRRU_DispIncr="Both"),PPIRRU_Increments=4)</formula>
    </cfRule>
  </conditionalFormatting>
  <conditionalFormatting sqref="M3:M5">
    <cfRule type="expression" dxfId="43" priority="13">
      <formula>AND(OR(PPIRRU_DispIncr="Top",PPIRRU_DispIncr="Both"),PPIRRU_Increments=5)</formula>
    </cfRule>
  </conditionalFormatting>
  <conditionalFormatting sqref="M12">
    <cfRule type="expression" dxfId="42" priority="12">
      <formula>AND(OR(PPIRRU_Increments=3,PPIRRU_Increments=2,PPIRRU_Increments=1),OR(PPIRRU_DispIncr="Bottom",PPIRRU_DispIncr="Both"))</formula>
    </cfRule>
  </conditionalFormatting>
  <conditionalFormatting sqref="M12:M13">
    <cfRule type="expression" dxfId="41" priority="11">
      <formula>AND(PPIRRU_Increments=4,OR(PPIRRU_DispIncr="Bottom",PPIRRU_DispIncr="Both"))</formula>
    </cfRule>
  </conditionalFormatting>
  <conditionalFormatting sqref="M12:M14">
    <cfRule type="expression" dxfId="40" priority="10">
      <formula>AND(PPIRRU_Increments=5,OR(PPIRRU_DispIncr="Bottom",PPIRRU_DispIncr="Both"))</formula>
    </cfRule>
  </conditionalFormatting>
  <conditionalFormatting sqref="M10">
    <cfRule type="expression" dxfId="39" priority="9">
      <formula>AND(OR(PPIRRU_Increments=3,PPIRRU_Increments=2,PPIRRU_Increments=1),OR(PPIRRU_DispIncr="Top",PPIRRU_DispIncr="Both"))</formula>
    </cfRule>
  </conditionalFormatting>
  <conditionalFormatting sqref="M9:M10">
    <cfRule type="expression" dxfId="38" priority="8">
      <formula>AND(PPIRRU_Increments=4,OR(PPIRRU_DispIncr="Top",PPIRRU_DispIncr="Both"))</formula>
    </cfRule>
  </conditionalFormatting>
  <conditionalFormatting sqref="M8:M10">
    <cfRule type="expression" dxfId="37" priority="5">
      <formula>PPIRRU_Increments=0</formula>
    </cfRule>
    <cfRule type="expression" dxfId="36" priority="6">
      <formula>PPIRRU_DispIncr="Bottom"</formula>
    </cfRule>
    <cfRule type="expression" dxfId="35" priority="7">
      <formula>AND(PPIRRU_Increments=5,OR(PPIRRU_DispIncr="Top",PPIRRU_DispIncr="Both"))</formula>
    </cfRule>
  </conditionalFormatting>
  <conditionalFormatting sqref="M7:M9">
    <cfRule type="expression" dxfId="34" priority="4">
      <formula>AND(OR(PPIRRU_DispIncr="Top",PPIRRU_DispIncr="Both"),PPIRRU_Increments=1)</formula>
    </cfRule>
  </conditionalFormatting>
  <conditionalFormatting sqref="M6:M8">
    <cfRule type="expression" dxfId="33" priority="3">
      <formula>AND(OR(PPIRRU_DispIncr="Top",PPIRRU_DispIncr="Both"),PPIRRU_Increments=2)</formula>
    </cfRule>
  </conditionalFormatting>
  <conditionalFormatting sqref="M5:M7">
    <cfRule type="expression" dxfId="32" priority="2">
      <formula>AND(OR(PPIRRU_DispIncr="Top",PPIRRU_DispIncr="Both"),PPIRRU_Increments=3)</formula>
    </cfRule>
  </conditionalFormatting>
  <conditionalFormatting sqref="M4:M6">
    <cfRule type="expression" dxfId="31" priority="1">
      <formula>AND(OR(PPIRRU_DispIncr="Top",PPIRRU_DispIncr="Both"),PPIRRU_Increments=4)</formula>
    </cfRule>
  </conditionalFormatting>
  <dataValidations count="2">
    <dataValidation type="list" allowBlank="1" showInputMessage="1" showErrorMessage="1" sqref="P4" xr:uid="{00000000-0002-0000-1700-000000000000}">
      <formula1>"Both, Top, Bottom"</formula1>
    </dataValidation>
    <dataValidation type="list" allowBlank="1" showInputMessage="1" showErrorMessage="1" sqref="P3" xr:uid="{00000000-0002-0000-1700-000001000000}">
      <formula1>"0,1,2,3,4,5"</formula1>
    </dataValidation>
  </dataValidations>
  <printOptions horizontalCentered="1" verticalCentered="1"/>
  <pageMargins left="0.5" right="0.5" top="1.75" bottom="0.5" header="0" footer="0"/>
  <pageSetup fitToHeight="0" orientation="landscape" cellComments="atEnd" r:id="rId1"/>
  <headerFooter>
    <oddHeader>&amp;C&amp;A</oddHeader>
    <oddFooter>&amp;CNOTICE:This is a draft and not intended for client distribution.</oddFooter>
  </headerFooter>
  <customProperties>
    <customPr name="GUID" r:id="rId2"/>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tabColor theme="8" tint="0.249977111117893"/>
    <pageSetUpPr fitToPage="1"/>
  </sheetPr>
  <dimension ref="A1:AO1749"/>
  <sheetViews>
    <sheetView showGridLines="0" zoomScale="140" zoomScaleNormal="140" zoomScaleSheetLayoutView="96" zoomScalePageLayoutView="110" workbookViewId="0">
      <selection activeCell="M39" sqref="M39:M48"/>
    </sheetView>
  </sheetViews>
  <sheetFormatPr defaultColWidth="8.85546875" defaultRowHeight="9"/>
  <cols>
    <col min="1" max="2" width="1.5703125" style="31" customWidth="1"/>
    <col min="3" max="3" width="2.42578125" style="31" customWidth="1"/>
    <col min="4" max="4" width="17.42578125" style="31" customWidth="1"/>
    <col min="5" max="5" width="2.42578125" style="31" customWidth="1"/>
    <col min="6" max="6" width="17.85546875" style="31" customWidth="1"/>
    <col min="7" max="8" width="11.5703125" style="31" customWidth="1"/>
    <col min="9" max="11" width="13" style="31" customWidth="1"/>
    <col min="12" max="12" width="13" style="32" customWidth="1"/>
    <col min="13" max="13" width="15.5703125" style="31" customWidth="1"/>
    <col min="14" max="14" width="14.42578125" style="31" bestFit="1" customWidth="1"/>
    <col min="15" max="15" width="3.85546875" style="31" customWidth="1"/>
    <col min="16" max="16" width="14.5703125" style="31" customWidth="1"/>
    <col min="17" max="17" width="16.42578125" style="31" customWidth="1"/>
    <col min="18" max="20" width="2.5703125" style="31" customWidth="1"/>
    <col min="21" max="21" width="1.140625" style="31" customWidth="1"/>
    <col min="22" max="22" width="9.42578125" style="31" bestFit="1" customWidth="1"/>
    <col min="23" max="23" width="14.42578125" style="31" customWidth="1"/>
    <col min="24" max="24" width="13.140625" style="31" customWidth="1"/>
    <col min="25" max="25" width="11.42578125" style="31" bestFit="1" customWidth="1"/>
    <col min="26" max="27" width="11.140625" style="31" bestFit="1" customWidth="1"/>
    <col min="28" max="28" width="12.42578125" style="31" bestFit="1" customWidth="1"/>
    <col min="29" max="29" width="11.140625" style="31" bestFit="1" customWidth="1"/>
    <col min="30" max="30" width="13.42578125" style="31" customWidth="1"/>
    <col min="31" max="31" width="14.140625" style="31" bestFit="1" customWidth="1"/>
    <col min="32" max="40" width="13.140625" style="31" bestFit="1" customWidth="1"/>
    <col min="41" max="41" width="14.85546875" style="31" bestFit="1" customWidth="1"/>
    <col min="42" max="16384" width="8.85546875" style="31"/>
  </cols>
  <sheetData>
    <row r="1" spans="1:34" s="690" customFormat="1" ht="13.5" customHeight="1">
      <c r="A1" s="589"/>
      <c r="B1" s="589"/>
      <c r="C1" s="758" t="s">
        <v>1852</v>
      </c>
      <c r="D1" s="589"/>
      <c r="E1" s="589"/>
      <c r="F1" s="641"/>
      <c r="G1" s="641"/>
      <c r="H1" s="641"/>
      <c r="I1" s="641"/>
      <c r="J1" s="641"/>
      <c r="K1" s="641"/>
      <c r="L1" s="589"/>
      <c r="M1" s="589"/>
      <c r="N1" s="589"/>
      <c r="O1" s="589"/>
      <c r="P1" s="589"/>
      <c r="Q1" s="589"/>
      <c r="R1" s="589"/>
      <c r="S1" s="589"/>
      <c r="T1" s="589"/>
      <c r="U1" s="589"/>
      <c r="V1" s="597"/>
      <c r="W1" s="597"/>
      <c r="X1" s="730"/>
      <c r="Y1" s="730"/>
      <c r="Z1" s="730"/>
      <c r="AA1" s="730"/>
      <c r="AB1" s="730"/>
      <c r="AC1" s="730"/>
      <c r="AD1" s="730"/>
      <c r="AE1" s="730"/>
      <c r="AF1" s="730"/>
      <c r="AG1" s="730"/>
      <c r="AH1" s="730"/>
    </row>
    <row r="2" spans="1:34" s="690" customFormat="1" ht="13.5" customHeight="1">
      <c r="A2" s="589"/>
      <c r="B2" s="589"/>
      <c r="C2" s="589"/>
      <c r="D2" s="640"/>
      <c r="E2" s="645"/>
      <c r="F2" s="645"/>
      <c r="G2" s="645"/>
      <c r="H2" s="645"/>
      <c r="I2" s="645"/>
      <c r="J2" s="645"/>
      <c r="K2" s="645"/>
      <c r="L2" s="589"/>
      <c r="M2" s="589"/>
      <c r="N2" s="589"/>
      <c r="O2" s="589"/>
      <c r="P2" s="589"/>
      <c r="Q2" s="589"/>
      <c r="R2" s="589"/>
      <c r="S2" s="589"/>
      <c r="T2" s="589"/>
      <c r="U2" s="589"/>
      <c r="V2" s="597"/>
      <c r="W2" s="597"/>
      <c r="X2" s="731"/>
      <c r="Y2" s="731"/>
      <c r="Z2" s="731"/>
      <c r="AA2" s="731"/>
      <c r="AB2" s="731"/>
      <c r="AC2" s="731"/>
      <c r="AD2" s="731"/>
      <c r="AE2" s="731"/>
      <c r="AF2" s="731"/>
      <c r="AG2" s="730"/>
      <c r="AH2" s="730"/>
    </row>
    <row r="3" spans="1:34" s="732" customFormat="1" ht="13.5" customHeight="1">
      <c r="A3" s="848"/>
      <c r="B3" s="848"/>
      <c r="C3" s="848"/>
      <c r="D3" s="1628" t="s">
        <v>1831</v>
      </c>
      <c r="E3" s="848"/>
      <c r="F3" s="861"/>
      <c r="G3" s="861"/>
      <c r="H3" s="861"/>
      <c r="I3" s="861" t="str">
        <f>IF(AND(OR(PPIRR_DispIncr="Both",PPIRR_DispIncr="Top"),PPIRR_Increments=5),AA3,"")</f>
        <v>Initial Cash-</v>
      </c>
      <c r="J3" s="861" t="str">
        <f>IF(AND(OR(PPIRR_DispIncr="Both",PPIRR_DispIncr="Top"),PPIRR_Increments=5),AB3,"")</f>
        <v>Year 10</v>
      </c>
      <c r="K3" s="861" t="str">
        <f>IF(AND(OR(PPIRR_DispIncr="Both",PPIRR_DispIncr="Top"),PPIRR_Increments=5),AC3,"")</f>
        <v>Year 10</v>
      </c>
      <c r="L3" s="861"/>
      <c r="M3" s="861"/>
      <c r="N3" s="861"/>
      <c r="O3" s="1142"/>
      <c r="P3" s="1143" t="s">
        <v>1832</v>
      </c>
      <c r="Q3" s="1145">
        <v>5</v>
      </c>
      <c r="R3" s="848"/>
      <c r="S3" s="848"/>
      <c r="T3" s="848"/>
      <c r="U3" s="848"/>
      <c r="V3" s="849"/>
      <c r="W3" s="849"/>
      <c r="X3" s="734"/>
      <c r="Y3" s="734"/>
      <c r="Z3" s="734"/>
      <c r="AA3" s="734" t="s">
        <v>1267</v>
      </c>
      <c r="AB3" s="734" t="s">
        <v>1851</v>
      </c>
      <c r="AC3" s="734" t="s">
        <v>1851</v>
      </c>
      <c r="AD3" s="734"/>
      <c r="AE3" s="734"/>
      <c r="AF3" s="734"/>
      <c r="AG3" s="733"/>
      <c r="AH3" s="733"/>
    </row>
    <row r="4" spans="1:34" s="735" customFormat="1" ht="13.5" customHeight="1">
      <c r="A4" s="850"/>
      <c r="B4" s="850"/>
      <c r="C4" s="850"/>
      <c r="D4" s="1628"/>
      <c r="E4" s="850"/>
      <c r="F4" s="861" t="str">
        <f>IF(AND(OR(PPIRR_DispIncr="Both",PPIRR_DispIncr="Top"),PPIRR_Increments=5),X4,"")</f>
        <v>Purchase</v>
      </c>
      <c r="G4" s="861" t="str">
        <f>IF(AND(OR(PPIRR_DispIncr="Both",PPIRR_DispIncr="Top"),PPIRR_Increments=5),Y4,"")</f>
        <v>Current</v>
      </c>
      <c r="H4" s="861" t="str">
        <f>IF(AND(OR(PPIRR_DispIncr="Both",PPIRR_DispIncr="Top"),PPIRR_Increments=5),Z4,"")</f>
        <v>Pro Forma</v>
      </c>
      <c r="I4" s="861" t="str">
        <f>IF(AND(OR(PPIRR_DispIncr="Both",PPIRR_DispIncr="Top"),PPIRR_Increments=5),AA4,IF(AND(OR(PPIRR_DispIncr="Both",PPIRR_DispIncr="Top"),PPIRR_Increments=4),AA3,""))</f>
        <v>on-Cash</v>
      </c>
      <c r="J4" s="861" t="str">
        <f>IF(AND(OR(PPIRR_DispIncr="Both",PPIRR_DispIncr="Top"),PPIRR_Increments=5),AB4,IF(AND(OR(PPIRR_DispIncr="Both",PPIRR_DispIncr="Top"),PPIRR_Increments=4),AB3,""))</f>
        <v>Unlevered</v>
      </c>
      <c r="K4" s="861" t="str">
        <f>IF(AND(OR(PPIRR_DispIncr="Both",PPIRR_DispIncr="Top"),PPIRR_Increments=5),AC4,IF(AND(OR(PPIRR_DispIncr="Both",PPIRR_DispIncr="Top"),PPIRR_Increments=4),AC3,""))</f>
        <v>Levered</v>
      </c>
      <c r="L4" s="861" t="str">
        <f>IF(AND(OR(PPIRR_DispIncr="Both",PPIRR_DispIncr="Top"),PPIRR_Increments=5),AD4,"")</f>
        <v>Price</v>
      </c>
      <c r="M4" s="861" t="str">
        <f>IF(AND(OR(PPIRR_DispIncr="Both",PPIRR_DispIncr="Top"),PPIRR_Increments=5),AE4,"")</f>
        <v>Price</v>
      </c>
      <c r="N4" s="861" t="str">
        <f>IF(AND(OR(PPIRR_DispIncr="Both",PPIRR_DispIncr="Top"),PPIRR_Increments=5),AF4,"")</f>
        <v>Pro Forma</v>
      </c>
      <c r="O4" s="1146"/>
      <c r="P4" s="1147" t="s">
        <v>1833</v>
      </c>
      <c r="Q4" s="1148" t="s">
        <v>205</v>
      </c>
      <c r="R4" s="850"/>
      <c r="S4" s="850"/>
      <c r="T4" s="850"/>
      <c r="U4" s="850"/>
      <c r="V4" s="851"/>
      <c r="W4" s="851"/>
      <c r="X4" s="737" t="s">
        <v>1834</v>
      </c>
      <c r="Y4" s="737" t="str">
        <f>'Operating Statement'!O4</f>
        <v>Current</v>
      </c>
      <c r="Z4" s="737" t="str">
        <f>'Operating Statement'!Q4</f>
        <v>Pro Forma</v>
      </c>
      <c r="AA4" s="737" t="s">
        <v>1270</v>
      </c>
      <c r="AB4" s="737" t="s">
        <v>1835</v>
      </c>
      <c r="AC4" s="737" t="s">
        <v>1836</v>
      </c>
      <c r="AD4" s="737" t="s">
        <v>0</v>
      </c>
      <c r="AE4" s="737" t="s">
        <v>0</v>
      </c>
      <c r="AF4" s="737" t="str">
        <f>'Operating Statement'!Q4</f>
        <v>Pro Forma</v>
      </c>
      <c r="AG4" s="736"/>
      <c r="AH4" s="736"/>
    </row>
    <row r="5" spans="1:34" s="738" customFormat="1" ht="13.5" customHeight="1">
      <c r="A5" s="852"/>
      <c r="B5" s="852"/>
      <c r="C5" s="852"/>
      <c r="D5" s="1628"/>
      <c r="E5" s="852"/>
      <c r="F5" s="861" t="str">
        <f>IF(AND(OR(PPIRR_DispIncr="Both",PPIRR_DispIncr="Top"),PPIRR_Increments=5),X5,IF(AND(OR(PPIRR_DispIncr="Both",PPIRR_DispIncr="Top"),PPIRR_Increments=4),X4,""))</f>
        <v>Price</v>
      </c>
      <c r="G5" s="861" t="str">
        <f>IF(AND(OR(PPIRR_DispIncr="Both",PPIRR_DispIncr="Top"),PPIRR_Increments=5),Y5,IF(AND(OR(PPIRR_DispIncr="Both",PPIRR_DispIncr="Top"),PPIRR_Increments=4),Y4,""))</f>
        <v>Cap Rate</v>
      </c>
      <c r="H5" s="861" t="str">
        <f>IF(AND(OR(PPIRR_DispIncr="Both",PPIRR_DispIncr="Top"),PPIRR_Increments=5),Z5,IF(AND(OR(PPIRR_DispIncr="Both",PPIRR_DispIncr="Top"),PPIRR_Increments=4),Z4,""))</f>
        <v>Cap Rate</v>
      </c>
      <c r="I5" s="861" t="str">
        <f>IFERROR(IF(AND(OR(PPIRR_DispIncr="Both",PPIRR_DispIncr="Top"),PPIRR_Increments=5),AA5,IF(AND(OR(PPIRR_DispIncr="Both",PPIRR_DispIncr="Top"),PPIRR_Increments=4),AA4,IF(AND(OR(PPIRR_DispIncr="Both",PPIRR_DispIncr="Top"),PPIRR_Increments=3),AA3,""))),0)</f>
        <v>Return</v>
      </c>
      <c r="J5" s="861" t="str">
        <f>IF(AND(OR(PPIRR_DispIncr="Both",PPIRR_DispIncr="Top"),PPIRR_Increments=5),AB5,IF(AND(OR(PPIRR_DispIncr="Both",PPIRR_DispIncr="Top"),PPIRR_Increments=4),AB4,IF(AND(OR(PPIRR_DispIncr="Both",PPIRR_DispIncr="Top"),PPIRR_Increments=3),AB3,"")))</f>
        <v>IRR</v>
      </c>
      <c r="K5" s="861" t="str">
        <f>IF(AND(OR(PPIRR_DispIncr="Both",PPIRR_DispIncr="Top"),PPIRR_Increments=5),AC5,IF(AND(OR(PPIRR_DispIncr="Both",PPIRR_DispIncr="Top"),PPIRR_Increments=4),AC4,IF(AND(OR(PPIRR_DispIncr="Both",PPIRR_DispIncr="Top"),PPIRR_Increments=3),AC3,"")))</f>
        <v>IRR</v>
      </c>
      <c r="L5" s="861" t="str">
        <f>IF(AND(OR(PPIRR_DispIncr="Both",PPIRR_DispIncr="Top"),PPIRR_Increments=5),AD5,IF(AND(OR(PPIRR_DispIncr="Both",PPIRR_DispIncr="Top"),PPIRR_Increments=4),AD4,""))</f>
        <v>Per SF</v>
      </c>
      <c r="M5" s="861" t="str">
        <f>IF(AND(OR(PPIRR_DispIncr="Both",PPIRR_DispIncr="Top"),PPIRR_Increments=5),AE5,IF(AND(OR(PPIRR_DispIncr="Both",PPIRR_DispIncr="Top"),PPIRR_Increments=4),AE4,""))</f>
        <v>Per Unit</v>
      </c>
      <c r="N5" s="861" t="str">
        <f>IF(AND(OR(PPIRR_DispIncr="Both",PPIRR_DispIncr="Top"),PPIRR_Increments=5),AF5,IF(AND(OR(PPIRR_DispIncr="Both",PPIRR_DispIncr="Top"),PPIRR_Increments=4),AF4,""))</f>
        <v>GRM</v>
      </c>
      <c r="O5" s="852"/>
      <c r="P5" s="852"/>
      <c r="Q5" s="852"/>
      <c r="R5" s="852"/>
      <c r="S5" s="852"/>
      <c r="T5" s="852"/>
      <c r="U5" s="852"/>
      <c r="V5" s="853"/>
      <c r="W5" s="853"/>
      <c r="X5" s="740" t="s">
        <v>0</v>
      </c>
      <c r="Y5" s="740" t="s">
        <v>1274</v>
      </c>
      <c r="Z5" s="740" t="s">
        <v>1274</v>
      </c>
      <c r="AA5" s="740" t="s">
        <v>1275</v>
      </c>
      <c r="AB5" s="740" t="s">
        <v>1277</v>
      </c>
      <c r="AC5" s="740" t="s">
        <v>1277</v>
      </c>
      <c r="AD5" s="740" t="s">
        <v>1278</v>
      </c>
      <c r="AE5" s="740" t="s">
        <v>1279</v>
      </c>
      <c r="AF5" s="740" t="s">
        <v>199</v>
      </c>
      <c r="AG5" s="739"/>
      <c r="AH5" s="739"/>
    </row>
    <row r="6" spans="1:34" s="741" customFormat="1" ht="13.5" customHeight="1">
      <c r="A6" s="854"/>
      <c r="B6" s="854"/>
      <c r="C6" s="854"/>
      <c r="D6" s="1628"/>
      <c r="E6" s="855"/>
      <c r="F6" s="1006">
        <f>IF(AND(OR(PPIRR_DispIncr="Both",PPIRR_DispIncr="Top"),PPIRR_Increments=5),5*Input!$B$34+Price,IF(AND(OR(PPIRR_DispIncr="Both",PPIRR_DispIncr="Top"),PPIRR_Increments=4),X5,IF(AND(OR(PPIRR_DispIncr="Both",PPIRR_DispIncr="Top"),PPIRR_Increments=3),X4,"")))</f>
        <v>9850000</v>
      </c>
      <c r="G6" s="1007">
        <f>IFERROR(IF(AND(OR(PPIRR_DispIncr="Both",PPIRR_DispIncr="Top"),PPIRR_Increments=5),'Pricing Detail'!$N$13/'Proposal Price IRR'!F6,IF(AND(OR(PPIRR_DispIncr="Both",PPIRR_DispIncr="Top"),PPIRR_Increments=4),Y5,IF(AND(OR(PPIRR_DispIncr="Both",PPIRR_DispIncr="Top"),PPIRR_Increments=3),Y4,""))),0)</f>
        <v>4.5262543756345176E-2</v>
      </c>
      <c r="H6" s="1007">
        <f>IFERROR(IF(AND(OR(PPIRR_DispIncr="Both",PPIRR_DispIncr="Top"),PPIRR_Increments=5),Input!R25,IF(AND(OR(PPIRR_DispIncr="Both",PPIRR_DispIncr="Top"),PPIRR_Increments=4),Z5,IF(AND(OR(PPIRR_DispIncr="Both",PPIRR_DispIncr="Top"),PPIRR_Increments=3),Z4,""))),0)</f>
        <v>5.7422867005076143E-2</v>
      </c>
      <c r="I6" s="1007">
        <f>IFERROR(IF(AND(OR(PPIRR_DispIncr="Both",PPIRR_DispIncr="Top"),PPIRR_Increments=5),Input!S25,IF(AND(OR(PPIRR_DispIncr="Both",PPIRR_DispIncr="Top"),PPIRR_Increments=4),AA5,IF(AND(OR(PPIRR_DispIncr="Both",PPIRR_DispIncr="Top"),PPIRR_Increments=3),AA4,IF(AND(OR(PPIRR_DispIncr="Both",PPIRR_DispIncr="Top"),PPIRR_Increments=2),AA3,"")))),0)</f>
        <v>1.371806926701551E-2</v>
      </c>
      <c r="J6" s="1007">
        <f>IFERROR(IF(AND(OR(PPIRR_DispIncr="Both",PPIRR_DispIncr="Top"),PPIRR_Increments=5),Input!T25,IF(AND(OR(PPIRR_DispIncr="Both",PPIRR_DispIncr="Top"),PPIRR_Increments=4),AB5,IF(AND(OR(PPIRR_DispIncr="Both",PPIRR_DispIncr="Top"),PPIRR_Increments=3),AB4,IF(AND(OR(PPIRR_DispIncr="Both",PPIRR_DispIncr="Top"),PPIRR_Increments=2),AB3,"")))),0)</f>
        <v>-5.7635274844620832E-2</v>
      </c>
      <c r="K6" s="1007">
        <f>IFERROR(IF(AND(OR(PPIRR_DispIncr="Both",PPIRR_DispIncr="Top"),PPIRR_Increments=5),Input!U25,IF(AND(OR(PPIRR_DispIncr="Both",PPIRR_DispIncr="Top"),PPIRR_Increments=4),AC5,IF(AND(OR(PPIRR_DispIncr="Both",PPIRR_DispIncr="Top"),PPIRR_Increments=3),AC4,IF(AND(OR(PPIRR_DispIncr="Both",PPIRR_DispIncr="Top"),PPIRR_Increments=2),AC3,"")))),0)</f>
        <v>0</v>
      </c>
      <c r="L6" s="1008">
        <f>IFERROR(IF(AND(OR(PPIRR_DispIncr="Both",PPIRR_DispIncr="Top"),PPIRR_Increments=5),Input!V25,IF(AND(OR(PPIRR_DispIncr="Both",PPIRR_DispIncr="Top"),PPIRR_Increments=4),AD5,IF(AND(OR(PPIRR_DispIncr="Both",PPIRR_DispIncr="Top"),PPIRR_Increments=3),AD4,""))),0)</f>
        <v>434.41827643997533</v>
      </c>
      <c r="M6" s="1006">
        <f>IFERROR(IF(AND(OR(PPIRR_DispIncr="Both",PPIRR_DispIncr="Top"),PPIRR_Increments=5),Input!W25,IF(AND(OR(PPIRR_DispIncr="Both",PPIRR_DispIncr="Top"),PPIRR_Increments=4),AE5,IF(AND(OR(PPIRR_DispIncr="Both",PPIRR_DispIncr="Top"),PPIRR_Increments=3),AE4,""))),0)</f>
        <v>364814.81481481483</v>
      </c>
      <c r="N6" s="1009">
        <f>IFERROR(IF(AND(OR(PPIRR_DispIncr="Both",PPIRR_DispIncr="Top"),PPIRR_Increments=5),Input!X25,IF(AND(OR(PPIRR_DispIncr="Both",PPIRR_DispIncr="Top"),PPIRR_Increments=4),AF5,IF(AND(OR(PPIRR_DispIncr="Both",PPIRR_DispIncr="Top"),PPIRR_Increments=3),AF4,""))),0)</f>
        <v>11.215102245297627</v>
      </c>
      <c r="O6" s="856"/>
      <c r="P6" s="855"/>
      <c r="Q6" s="855"/>
      <c r="R6" s="857"/>
      <c r="S6" s="854"/>
      <c r="T6" s="854"/>
      <c r="U6" s="854"/>
      <c r="V6" s="858"/>
      <c r="W6" s="858"/>
      <c r="X6" s="731"/>
      <c r="Y6" s="731"/>
      <c r="Z6" s="731"/>
      <c r="AA6" s="731"/>
      <c r="AB6" s="731"/>
      <c r="AC6" s="731"/>
      <c r="AD6" s="731"/>
      <c r="AE6" s="731"/>
      <c r="AF6" s="731"/>
      <c r="AG6" s="731"/>
      <c r="AH6" s="731"/>
    </row>
    <row r="7" spans="1:34" s="742" customFormat="1" ht="13.5" customHeight="1">
      <c r="A7" s="859"/>
      <c r="B7" s="859"/>
      <c r="C7" s="859"/>
      <c r="D7" s="1628"/>
      <c r="E7" s="856"/>
      <c r="F7" s="1006">
        <f>IF(AND(OR(PPIRR_DispIncr="Both",PPIRR_DispIncr="Top"),PPIRR_Increments=5),4*Input!$B$34+Price,IF(AND(OR(PPIRR_DispIncr="Both",PPIRR_DispIncr="Top"),PPIRR_Increments=4),4*Input!$B$34+Price,IF(AND(OR(PPIRR_DispIncr="Both",PPIRR_DispIncr="Top"),PPIRR_Increments=3),X5,IF(AND(OR(PPIRR_DispIncr="Both",PPIRR_DispIncr="Top"),PPIRR_Increments=2),X4,""))))</f>
        <v>9750000</v>
      </c>
      <c r="G7" s="1007">
        <f>IFERROR(IF(AND(OR(PPIRR_DispIncr="Both",PPIRR_DispIncr="Top"),PPIRR_Increments=5),'Pricing Detail'!$N$13/'Proposal Price IRR'!F7,IF(AND(OR(PPIRR_DispIncr="Both",PPIRR_DispIncr="Top"),PPIRR_Increments=4),'Pricing Detail'!$N$13/'Proposal Price IRR'!F7,IF(AND(OR(PPIRR_DispIncr="Both",PPIRR_DispIncr="Top"),PPIRR_Increments=3),Y5,IF(AND(OR(PPIRR_DispIncr="Both",PPIRR_DispIncr="Top"),PPIRR_Increments=2),Y4,"")))),0)</f>
        <v>4.5726774974358973E-2</v>
      </c>
      <c r="H7" s="1007">
        <f>IFERROR(IF(AND(OR(PPIRR_DispIncr="Both",PPIRR_DispIncr="Top"),PPIRR_Increments=5),Input!R26,IF(AND(OR(PPIRR_DispIncr="Both",PPIRR_DispIncr="Top"),PPIRR_Increments=4),Input!R26,IF(AND(OR(PPIRR_DispIncr="Both",PPIRR_DispIncr="Top"),PPIRR_Increments=3),Z5,IF(AND(OR(PPIRR_DispIncr="Both",PPIRR_DispIncr="Top"),PPIRR_Increments=2),Z4,"")))),0)</f>
        <v>5.8127716923076923E-2</v>
      </c>
      <c r="I7" s="1007">
        <f>IFERROR(IF(AND(OR(PPIRR_DispIncr="Both",PPIRR_DispIncr="Top"),PPIRR_Increments=5),Input!S26,IF(AND(OR(PPIRR_DispIncr="Both",PPIRR_DispIncr="Top"),PPIRR_Increments=4),Input!S26,IF(AND(OR(PPIRR_DispIncr="Both",PPIRR_DispIncr="Top"),PPIRR_Increments=3),AA5,IF(AND(OR(PPIRR_DispIncr="Both",PPIRR_DispIncr="Top"),PPIRR_Increments=2),AA4,IF(AND(OR(PPIRR_DispIncr="Both",PPIRR_DispIncr="Top"),PPIRR_Increments=1),AA3,""))))),0)</f>
        <v>1.4994170456654935E-2</v>
      </c>
      <c r="J7" s="1007">
        <f>IFERROR(IF(AND(OR(PPIRR_DispIncr="Both",PPIRR_DispIncr="Top"),PPIRR_Increments=5),Input!T26,IF(AND(OR(PPIRR_DispIncr="Both",PPIRR_DispIncr="Top"),PPIRR_Increments=4),Input!T26,IF(AND(OR(PPIRR_DispIncr="Both",PPIRR_DispIncr="Top"),PPIRR_Increments=3),AB5,IF(AND(OR(PPIRR_DispIncr="Both",PPIRR_DispIncr="Top"),PPIRR_Increments=2),AB4,IF(AND(OR(PPIRR_DispIncr="Both",PPIRR_DispIncr="Top"),PPIRR_Increments=1),AB3,""))))),0)</f>
        <v>-5.58387487603208E-2</v>
      </c>
      <c r="K7" s="1007">
        <f>IFERROR(IF(AND(OR(PPIRR_DispIncr="Both",PPIRR_DispIncr="Top"),PPIRR_Increments=5),Input!U26,IF(AND(OR(PPIRR_DispIncr="Both",PPIRR_DispIncr="Top"),PPIRR_Increments=4),Input!U26,IF(AND(OR(PPIRR_DispIncr="Both",PPIRR_DispIncr="Top"),PPIRR_Increments=3),AC5,IF(AND(OR(PPIRR_DispIncr="Both",PPIRR_DispIncr="Top"),PPIRR_Increments=2),AC4,IF(AND(OR(PPIRR_DispIncr="Both",PPIRR_DispIncr="Top"),PPIRR_Increments=1),AC3,""))))),0)</f>
        <v>0</v>
      </c>
      <c r="L7" s="1008">
        <f>IFERROR(IF(AND(OR(PPIRR_DispIncr="Both",PPIRR_DispIncr="Top"),PPIRR_Increments=5),Input!V26,IF(AND(OR(PPIRR_DispIncr="Both",PPIRR_DispIncr="Top"),PPIRR_Increments=4),Input!V26,IF(AND(OR(PPIRR_DispIncr="Both",PPIRR_DispIncr="Top"),PPIRR_Increments=3),AD5,IF(AND(OR(PPIRR_DispIncr="Both",PPIRR_DispIncr="Top"),PPIRR_Increments=2),AD4,"")))),0)</f>
        <v>430.00793860809739</v>
      </c>
      <c r="M7" s="1006">
        <f>IFERROR(IF(AND(OR(PPIRR_DispIncr="Both",PPIRR_DispIncr="Top"),PPIRR_Increments=5),Input!W26,IF(AND(OR(PPIRR_DispIncr="Both",PPIRR_DispIncr="Top"),PPIRR_Increments=4),Input!W26,IF(AND(OR(PPIRR_DispIncr="Both",PPIRR_DispIncr="Top"),PPIRR_Increments=3),AE5,IF(AND(OR(PPIRR_DispIncr="Both",PPIRR_DispIncr="Top"),PPIRR_Increments=2),AE4,"")))),0)</f>
        <v>361111.11111111112</v>
      </c>
      <c r="N7" s="1009">
        <f>IFERROR(IF(AND(OR(PPIRR_DispIncr="Both",PPIRR_DispIncr="Top"),PPIRR_Increments=5),Input!X26,IF(AND(OR(PPIRR_DispIncr="Both",PPIRR_DispIncr="Top"),PPIRR_Increments=4),Input!X26,IF(AND(OR(PPIRR_DispIncr="Both",PPIRR_DispIncr="Top"),PPIRR_Increments=3),AF5,IF(AND(OR(PPIRR_DispIncr="Both",PPIRR_DispIncr="Top"),PPIRR_Increments=2),AF4,"")))),0)</f>
        <v>11.101243339253996</v>
      </c>
      <c r="O7" s="860"/>
      <c r="P7" s="856"/>
      <c r="Q7" s="856"/>
      <c r="R7" s="859"/>
      <c r="S7" s="859"/>
      <c r="T7" s="859"/>
      <c r="U7" s="859"/>
      <c r="V7" s="861"/>
      <c r="W7" s="861"/>
      <c r="X7" s="743"/>
      <c r="Y7" s="743"/>
      <c r="Z7" s="743"/>
      <c r="AA7" s="743"/>
      <c r="AB7" s="743"/>
      <c r="AC7" s="743"/>
      <c r="AD7" s="743"/>
      <c r="AE7" s="743"/>
      <c r="AF7" s="743"/>
      <c r="AG7" s="743"/>
      <c r="AH7" s="743"/>
    </row>
    <row r="8" spans="1:34" s="741" customFormat="1" ht="13.5" customHeight="1">
      <c r="A8" s="854"/>
      <c r="B8" s="854"/>
      <c r="C8" s="854"/>
      <c r="D8" s="1630">
        <f ca="1">IF(PPIRR_DispIncr="Top",OFFSET(F11,-PPIRR_Increments,0),IF(PPIRR_DispIncr="Bottom",F11,IF(PPIRR_DispIncr="Both",OFFSET(F11,-PPIRR_Increments,0),"")))</f>
        <v>9850000</v>
      </c>
      <c r="E8" s="860"/>
      <c r="F8" s="1006">
        <f>IF(AND(OR(PPIRR_DispIncr="Both",PPIRR_DispIncr="Top"),PPIRR_Increments=5),3*Input!$B$34+Price,IF(AND(OR(PPIRR_DispIncr="Both",PPIRR_DispIncr="Top"),PPIRR_Increments=4),3*Input!$B$34+Price,IF(AND(OR(PPIRR_DispIncr="Both",PPIRR_DispIncr="Top"),PPIRR_Increments=3),3*Input!$B$34+Price,IF(AND(OR(PPIRR_DispIncr="Both",PPIRR_DispIncr="Top"),PPIRR_Increments=2),X5,IF(AND(OR(PPIRR_DispIncr="Both",PPIRR_DispIncr="Top"),PPIRR_Increments=1),X4,"")))))</f>
        <v>9650000</v>
      </c>
      <c r="G8" s="1007">
        <f>IFERROR(IF(AND(OR(PPIRR_DispIncr="Both",PPIRR_DispIncr="Top"),PPIRR_Increments=5),'Pricing Detail'!$N$13/'Proposal Price IRR'!F8,IF(AND(OR(PPIRR_DispIncr="Both",PPIRR_DispIncr="Top"),PPIRR_Increments=4),'Pricing Detail'!$N$13/'Proposal Price IRR'!F8,IF(AND(OR(PPIRR_DispIncr="Both",PPIRR_DispIncr="Top"),PPIRR_Increments=3),'Pricing Detail'!$N$13/'Proposal Price IRR'!F8,IF(AND(OR(PPIRR_DispIncr="Both",PPIRR_DispIncr="Top"),PPIRR_Increments=2),Y5,IF(AND(OR(PPIRR_DispIncr="Both",PPIRR_DispIncr="Top"),PPIRR_Increments=1),Y4,""))))),0)</f>
        <v>4.6200627564766839E-2</v>
      </c>
      <c r="H8" s="1007">
        <f>IFERROR(IF(AND(OR(PPIRR_DispIncr="Both",PPIRR_DispIncr="Top"),PPIRR_Increments=5),Input!R27,IF(AND(OR(PPIRR_DispIncr="Both",PPIRR_DispIncr="Top"),PPIRR_Increments=4),Input!R27,IF(AND(OR(PPIRR_DispIncr="Both",PPIRR_DispIncr="Top"),PPIRR_Increments=3),Input!R27,IF(AND(OR(PPIRR_DispIncr="Both",PPIRR_DispIncr="Top"),PPIRR_Increments=2),Z5,IF(AND(OR(PPIRR_DispIncr="Both",PPIRR_DispIncr="Top"),PPIRR_Increments=1),Z4,""))))),0)</f>
        <v>5.8847175129533677E-2</v>
      </c>
      <c r="I8" s="1007">
        <f>IFERROR(IF(AND(OR(PPIRR_DispIncr="Both",PPIRR_DispIncr="Top"),PPIRR_Increments=5),Input!S27,IF(AND(OR(PPIRR_DispIncr="Both",PPIRR_DispIncr="Top"),PPIRR_Increments=4),Input!S27,IF(AND(OR(PPIRR_DispIncr="Both",PPIRR_DispIncr="Top"),PPIRR_Increments=3),Input!S27,IF(AND(OR(PPIRR_DispIncr="Both",PPIRR_DispIncr="Top"),PPIRR_Increments=2),AA5,IF(AND(OR(PPIRR_DispIncr="Both",PPIRR_DispIncr="Top"),PPIRR_Increments=1),AA4,IF(AND(OR(PPIRR_DispIncr="Both",PPIRR_DispIncr="Top"),PPIRR_Increments=0),AA3,IF(PPIRR_DispIncr="Bottom",AA3,""))))))),0)</f>
        <v>1.6296719339343953E-2</v>
      </c>
      <c r="J8" s="1007">
        <f>IFERROR(IF(AND(OR(PPIRR_DispIncr="Both",PPIRR_DispIncr="Top"),PPIRR_Increments=5),Input!T27,IF(AND(OR(PPIRR_DispIncr="Both",PPIRR_DispIncr="Top"),PPIRR_Increments=4),Input!T27,IF(AND(OR(PPIRR_DispIncr="Both",PPIRR_DispIncr="Top"),PPIRR_Increments=3),Input!T27,IF(AND(OR(PPIRR_DispIncr="Both",PPIRR_DispIncr="Top"),PPIRR_Increments=2),AB5,IF(AND(OR(PPIRR_DispIncr="Both",PPIRR_DispIncr="Top"),PPIRR_Increments=1),AB4,IF(AND(OR(PPIRR_DispIncr="Both",PPIRR_DispIncr="Top"),PPIRR_Increments=0),AB3,IF(PPIRR_DispIncr="Bottom",AB3,""))))))),0)</f>
        <v>-5.4018985007766362E-2</v>
      </c>
      <c r="K8" s="1007">
        <f>IFERROR(IF(AND(OR(PPIRR_DispIncr="Both",PPIRR_DispIncr="Top"),PPIRR_Increments=5),Input!U27,IF(AND(OR(PPIRR_DispIncr="Both",PPIRR_DispIncr="Top"),PPIRR_Increments=4),Input!U27,IF(AND(OR(PPIRR_DispIncr="Both",PPIRR_DispIncr="Top"),PPIRR_Increments=3),Input!U27,IF(AND(OR(PPIRR_DispIncr="Both",PPIRR_DispIncr="Top"),PPIRR_Increments=2),AC5,IF(AND(OR(PPIRR_DispIncr="Both",PPIRR_DispIncr="Top"),PPIRR_Increments=1),AC4,IF(AND(OR(PPIRR_DispIncr="Both",PPIRR_DispIncr="Top"),PPIRR_Increments=0),AC3,IF(PPIRR_DispIncr="Bottom",AC3,""))))))),0)</f>
        <v>0</v>
      </c>
      <c r="L8" s="1008">
        <f>IFERROR(IF(AND(OR(PPIRR_DispIncr="Both",PPIRR_DispIncr="Top"),PPIRR_Increments=5),Input!V27,IF(AND(OR(PPIRR_DispIncr="Both",PPIRR_DispIncr="Top"),PPIRR_Increments=4),Input!V27,IF(AND(OR(PPIRR_DispIncr="Both",PPIRR_DispIncr="Top"),PPIRR_Increments=3),Input!V27,IF(AND(OR(PPIRR_DispIncr="Both",PPIRR_DispIncr="Top"),PPIRR_Increments=2),AD5,IF(AND(OR(PPIRR_DispIncr="Both",PPIRR_DispIncr="Top"),PPIRR_Increments=1),AD4,""))))),0)</f>
        <v>425.59760077621945</v>
      </c>
      <c r="M8" s="1006">
        <f>IFERROR(IF(AND(OR(PPIRR_DispIncr="Both",PPIRR_DispIncr="Top"),PPIRR_Increments=5),Input!W27,IF(AND(OR(PPIRR_DispIncr="Both",PPIRR_DispIncr="Top"),PPIRR_Increments=4),Input!W27,IF(AND(OR(PPIRR_DispIncr="Both",PPIRR_DispIncr="Top"),PPIRR_Increments=3),Input!W27,IF(AND(OR(PPIRR_DispIncr="Both",PPIRR_DispIncr="Top"),PPIRR_Increments=2),AE5,IF(AND(OR(PPIRR_DispIncr="Both",PPIRR_DispIncr="Top"),PPIRR_Increments=1),AE4,""))))),0)</f>
        <v>357407.40740740742</v>
      </c>
      <c r="N8" s="1009">
        <f>IFERROR(IF(AND(OR(PPIRR_DispIncr="Both",PPIRR_DispIncr="Top"),PPIRR_Increments=5),Input!X27,IF(AND(OR(PPIRR_DispIncr="Both",PPIRR_DispIncr="Top"),PPIRR_Increments=4),Input!X27,IF(AND(OR(PPIRR_DispIncr="Both",PPIRR_DispIncr="Top"),PPIRR_Increments=3),Input!X27,IF(AND(OR(PPIRR_DispIncr="Both",PPIRR_DispIncr="Top"),PPIRR_Increments=2),AF5,IF(AND(OR(PPIRR_DispIncr="Both",PPIRR_DispIncr="Top"),PPIRR_Increments=1),AF4,""))))),0)</f>
        <v>10.987384433210366</v>
      </c>
      <c r="O8" s="860"/>
      <c r="P8" s="860"/>
      <c r="Q8" s="860"/>
      <c r="R8" s="854"/>
      <c r="S8" s="854"/>
      <c r="T8" s="854"/>
      <c r="U8" s="854"/>
      <c r="V8" s="858"/>
      <c r="W8" s="858"/>
      <c r="X8" s="731"/>
      <c r="Y8" s="731"/>
      <c r="Z8" s="731"/>
      <c r="AA8" s="731"/>
      <c r="AB8" s="731"/>
      <c r="AC8" s="731"/>
      <c r="AD8" s="731"/>
      <c r="AE8" s="731"/>
      <c r="AF8" s="731"/>
      <c r="AG8" s="731"/>
      <c r="AH8" s="731"/>
    </row>
    <row r="9" spans="1:34" s="741" customFormat="1" ht="13.5" customHeight="1">
      <c r="A9" s="854"/>
      <c r="B9" s="854"/>
      <c r="C9" s="854"/>
      <c r="D9" s="1630"/>
      <c r="E9" s="860"/>
      <c r="F9" s="1006">
        <f>IF(AND(OR(PPIRR_DispIncr="Both",PPIRR_DispIncr="Top"),PPIRR_Increments=5),2*Input!$B$34+Price,IF(AND(OR(PPIRR_DispIncr="Both",PPIRR_DispIncr="Top"),PPIRR_Increments=4),2*Input!$B$34+Price,IF(AND(OR(PPIRR_DispIncr="Both",PPIRR_DispIncr="Top"),PPIRR_Increments=3),2*Input!$B$34+Price,IF(AND(OR(PPIRR_DispIncr="Both",PPIRR_DispIncr="Top"),PPIRR_Increments=2),2*Input!$B$34+Price,IF(AND(OR(PPIRR_DispIncr="Both",PPIRR_DispIncr="Top"),PPIRR_Increments=1),X5,IF(AND(OR(PPIRR_DispIncr="Both",PPIRR_DispIncr="Top"),PPIRR_Increments=0),X4,IF(PPIRR_DispIncr="Bottom",X4,"")))))))</f>
        <v>9550000</v>
      </c>
      <c r="G9" s="1007">
        <f>IFERROR(IF(AND(OR(PPIRR_DispIncr="Both",PPIRR_DispIncr="Top"),PPIRR_Increments=5),'Pricing Detail'!$N$13/'Proposal Price IRR'!F9,IF(AND(OR(PPIRR_DispIncr="Both",PPIRR_DispIncr="Top"),PPIRR_Increments=4),'Pricing Detail'!$N$13/'Proposal Price IRR'!F9,IF(AND(OR(PPIRR_DispIncr="Both",PPIRR_DispIncr="Top"),PPIRR_Increments=3),'Pricing Detail'!$N$13/'Proposal Price IRR'!F9,IF(AND(OR(PPIRR_DispIncr="Both",PPIRR_DispIncr="Top"),PPIRR_Increments=2),'Pricing Detail'!$N$13/'Proposal Price IRR'!F9,IF(AND(OR(PPIRR_DispIncr="Both",PPIRR_DispIncr="Top"),PPIRR_Increments=1),Y5,IF(AND(OR(PPIRR_DispIncr="Both",PPIRR_DispIncr="Top"),PPIRR_Increments=0),Y4,IF(PPIRR_DispIncr="Bottom",Y4,""))))))),0)</f>
        <v>4.6684403769633509E-2</v>
      </c>
      <c r="H9" s="1007">
        <f>IFERROR(IF(AND(OR(PPIRR_DispIncr="Both",PPIRR_DispIncr="Top"),PPIRR_Increments=5),Input!R28,IF(AND(OR(PPIRR_DispIncr="Both",PPIRR_DispIncr="Top"),PPIRR_Increments=4),Input!R28,IF(AND(OR(PPIRR_DispIncr="Both",PPIRR_DispIncr="Top"),PPIRR_Increments=3),Input!R28,IF(AND(OR(PPIRR_DispIncr="Both",PPIRR_DispIncr="Top"),PPIRR_Increments=2),Input!R28,IF(AND(OR(PPIRR_DispIncr="Both",PPIRR_DispIncr="Top"),PPIRR_Increments=1),Z5,IF(AND(OR(PPIRR_DispIncr="Both",PPIRR_DispIncr="Top"),PPIRR_Increments=0),Z4,IF(PPIRR_DispIncr="Bottom",Z4,""))))))),0)</f>
        <v>5.958170052356021E-2</v>
      </c>
      <c r="I9" s="1007">
        <f>IFERROR(IF(AND(OR(PPIRR_DispIncr="Both",PPIRR_DispIncr="Top"),PPIRR_Increments=5),Input!S28,IF(AND(OR(PPIRR_DispIncr="Both",PPIRR_DispIncr="Top"),PPIRR_Increments=4),Input!S28,IF(AND(OR(PPIRR_DispIncr="Both",PPIRR_DispIncr="Top"),PPIRR_Increments=3),Input!S28,IF(AND(OR(PPIRR_DispIncr="Both",PPIRR_DispIncr="Top"),PPIRR_Increments=2),Input!S28,IF(AND(OR(PPIRR_DispIncr="Both",PPIRR_DispIncr="Top"),PPIRR_Increments=1),AA5,IF(AND(OR(PPIRR_DispIncr="Both",PPIRR_DispIncr="Top"),PPIRR_Increments=0),AA4,IF(PPIRR_DispIncr="Bottom",AA4,""))))))),0)</f>
        <v>1.7626546732665171E-2</v>
      </c>
      <c r="J9" s="1007">
        <f>IFERROR(IF(AND(OR(PPIRR_DispIncr="Both",PPIRR_DispIncr="Top"),PPIRR_Increments=5),Input!T28,IF(AND(OR(PPIRR_DispIncr="Both",PPIRR_DispIncr="Top"),PPIRR_Increments=4),Input!T28,IF(AND(OR(PPIRR_DispIncr="Both",PPIRR_DispIncr="Top"),PPIRR_Increments=3),Input!T28,IF(AND(OR(PPIRR_DispIncr="Both",PPIRR_DispIncr="Top"),PPIRR_Increments=2),Input!T28,IF(AND(OR(PPIRR_DispIncr="Both",PPIRR_DispIncr="Top"),PPIRR_Increments=1),AB5,IF(AND(OR(PPIRR_DispIncr="Both",PPIRR_DispIncr="Top"),PPIRR_Increments=0),AB4,IF(PPIRR_DispIncr="Bottom",AB4,""))))))),0)</f>
        <v>-5.2175375347369601E-2</v>
      </c>
      <c r="K9" s="1007">
        <f>IFERROR(IF(AND(OR(PPIRR_DispIncr="Both",PPIRR_DispIncr="Top"),PPIRR_Increments=5),Input!U28,IF(AND(OR(PPIRR_DispIncr="Both",PPIRR_DispIncr="Top"),PPIRR_Increments=4),Input!U28,IF(AND(OR(PPIRR_DispIncr="Both",PPIRR_DispIncr="Top"),PPIRR_Increments=3),Input!U28,IF(AND(OR(PPIRR_DispIncr="Both",PPIRR_DispIncr="Top"),PPIRR_Increments=2),Input!U28,IF(AND(OR(PPIRR_DispIncr="Both",PPIRR_DispIncr="Top"),PPIRR_Increments=1),AC5,IF(AND(OR(PPIRR_DispIncr="Both",PPIRR_DispIncr="Top"),PPIRR_Increments=0),AC4,IF(PPIRR_DispIncr="Bottom",AC4,""))))))),0)</f>
        <v>0</v>
      </c>
      <c r="L9" s="1008">
        <f>IFERROR(IF(AND(OR(PPIRR_DispIncr="Both",PPIRR_DispIncr="Top"),PPIRR_Increments=5),Input!V28,IF(AND(OR(PPIRR_DispIncr="Both",PPIRR_DispIncr="Top"),PPIRR_Increments=4),Input!V28,IF(AND(OR(PPIRR_DispIncr="Both",PPIRR_DispIncr="Top"),PPIRR_Increments=3),Input!V28,IF(AND(OR(PPIRR_DispIncr="Both",PPIRR_DispIncr="Top"),PPIRR_Increments=2),Input!V28,IF(AND(OR(PPIRR_DispIncr="Both",PPIRR_DispIncr="Top"),PPIRR_Increments=1),AD5,IF(AND(OR(PPIRR_DispIncr="Both",PPIRR_DispIncr="Top"),PPIRR_Increments=0),AD4,IF(PPIRR_DispIncr="Bottom",AD4,""))))))),0)</f>
        <v>421.18726294434151</v>
      </c>
      <c r="M9" s="1006">
        <f>IFERROR(IF(AND(OR(PPIRR_DispIncr="Both",PPIRR_DispIncr="Top"),PPIRR_Increments=5),Input!W28,IF(AND(OR(PPIRR_DispIncr="Both",PPIRR_DispIncr="Top"),PPIRR_Increments=4),Input!W28,IF(AND(OR(PPIRR_DispIncr="Both",PPIRR_DispIncr="Top"),PPIRR_Increments=3),Input!W28,IF(AND(OR(PPIRR_DispIncr="Both",PPIRR_DispIncr="Top"),PPIRR_Increments=2),Input!W28,IF(AND(OR(PPIRR_DispIncr="Both",PPIRR_DispIncr="Top"),PPIRR_Increments=1),AE5,IF(AND(OR(PPIRR_DispIncr="Both",PPIRR_DispIncr="Top"),PPIRR_Increments=0),AE4,IF(PPIRR_DispIncr="Bottom",AE4,""))))))),0)</f>
        <v>353703.70370370371</v>
      </c>
      <c r="N9" s="1009">
        <f>IFERROR(IF(AND(OR(PPIRR_DispIncr="Both",PPIRR_DispIncr="Top"),PPIRR_Increments=5),Input!X28,IF(AND(OR(PPIRR_DispIncr="Both",PPIRR_DispIncr="Top"),PPIRR_Increments=4),Input!X28,IF(AND(OR(PPIRR_DispIncr="Both",PPIRR_DispIncr="Top"),PPIRR_Increments=3),Input!X28,IF(AND(OR(PPIRR_DispIncr="Both",PPIRR_DispIncr="Top"),PPIRR_Increments=2),Input!X28,IF(AND(OR(PPIRR_DispIncr="Both",PPIRR_DispIncr="Top"),PPIRR_Increments=1),AF5,IF(AND(OR(PPIRR_DispIncr="Both",PPIRR_DispIncr="Top"),PPIRR_Increments=0),AF4,IF(PPIRR_DispIncr="Bottom",AF4,""))))))),0)</f>
        <v>10.873525527166734</v>
      </c>
      <c r="O9" s="854"/>
      <c r="P9" s="860"/>
      <c r="Q9" s="860"/>
      <c r="R9" s="854"/>
      <c r="S9" s="854"/>
      <c r="T9" s="854"/>
      <c r="U9" s="854"/>
      <c r="V9" s="858"/>
      <c r="W9" s="858"/>
      <c r="X9" s="731"/>
      <c r="Y9" s="731"/>
      <c r="Z9" s="731"/>
      <c r="AA9" s="731"/>
      <c r="AB9" s="731"/>
      <c r="AC9" s="731"/>
      <c r="AD9" s="731"/>
      <c r="AE9" s="731"/>
      <c r="AF9" s="731"/>
      <c r="AG9" s="731"/>
      <c r="AH9" s="731"/>
    </row>
    <row r="10" spans="1:34" s="741" customFormat="1" ht="13.5" customHeight="1">
      <c r="A10" s="854"/>
      <c r="B10" s="854"/>
      <c r="C10" s="854"/>
      <c r="D10" s="1630"/>
      <c r="E10" s="860"/>
      <c r="F10" s="1006">
        <f>IF(AND(OR(PPIRR_DispIncr="Both",PPIRR_DispIncr="Top"),PPIRR_Increments=5),Input!$B$34+Price,IF(AND(OR(PPIRR_DispIncr="Both",PPIRR_DispIncr="Top"),PPIRR_Increments=4),Input!$B$34+Price,IF(AND(OR(PPIRR_DispIncr="Both",PPIRR_DispIncr="Top"),PPIRR_Increments=3),Input!$B$34+Price,IF(AND(OR(PPIRR_DispIncr="Both",PPIRR_DispIncr="Top"),PPIRR_Increments=2),Input!$B$34+Price,IF(AND(OR(PPIRR_DispIncr="Both",PPIRR_DispIncr="Top"),PPIRR_Increments=1),Input!$B$34+Price,IF(AND(OR(PPIRR_DispIncr="Both",PPIRR_DispIncr="Top"),PPIRR_Increments=0),X5,IF(PPIRR_DispIncr="Bottom",X5,"")))))))</f>
        <v>9450000</v>
      </c>
      <c r="G10" s="1007">
        <f>IFERROR(IF(AND(OR(PPIRR_DispIncr="Both",PPIRR_DispIncr="Top"),PPIRR_Increments=5),'Pricing Detail'!$N$13/'Proposal Price IRR'!F10,IF(AND(OR(PPIRR_DispIncr="Both",PPIRR_DispIncr="Top"),PPIRR_Increments=4),'Pricing Detail'!$N$13/'Proposal Price IRR'!F10,IF(AND(OR(PPIRR_DispIncr="Both",PPIRR_DispIncr="Top"),PPIRR_Increments=3),'Pricing Detail'!$N$13/'Proposal Price IRR'!F10,IF(AND(OR(PPIRR_DispIncr="Both",PPIRR_DispIncr="Top"),PPIRR_Increments=2),'Pricing Detail'!$N$13/'Proposal Price IRR'!F10,IF(AND(OR(PPIRR_DispIncr="Both",PPIRR_DispIncr="Top"),PPIRR_Increments=1),'Pricing Detail'!$N$13/'Proposal Price IRR'!F10,IF(AND(OR(PPIRR_DispIncr="Both",PPIRR_DispIncr="Top"),PPIRR_Increments=0),Y5,IF(PPIRR_DispIncr="Bottom",Y5,""))))))),0)</f>
        <v>4.7178418624338622E-2</v>
      </c>
      <c r="H10" s="1007">
        <f>IFERROR(IF(AND(OR(PPIRR_DispIncr="Both",PPIRR_DispIncr="Top"),PPIRR_Increments=5),Input!R29,IF(AND(OR(PPIRR_DispIncr="Both",PPIRR_DispIncr="Top"),PPIRR_Increments=4),Input!R29,IF(AND(OR(PPIRR_DispIncr="Both",PPIRR_DispIncr="Top"),PPIRR_Increments=3),Input!R29,IF(AND(OR(PPIRR_DispIncr="Both",PPIRR_DispIncr="Top"),PPIRR_Increments=2),Input!R29,IF(AND(OR(PPIRR_DispIncr="Both",PPIRR_DispIncr="Top"),PPIRR_Increments=1),Input!R29,IF(AND(OR(PPIRR_DispIncr="Both",PPIRR_DispIncr="Top"),PPIRR_Increments=0),Z5,IF(PPIRR_DispIncr="Bottom",Z5,""))))))),0)</f>
        <v>6.0331771428571428E-2</v>
      </c>
      <c r="I10" s="1007">
        <f>IFERROR(IF(AND(OR(PPIRR_DispIncr="Both",PPIRR_DispIncr="Top"),PPIRR_Increments=5),Input!S29,IF(AND(OR(PPIRR_DispIncr="Both",PPIRR_DispIncr="Top"),PPIRR_Increments=4),Input!S29,IF(AND(OR(PPIRR_DispIncr="Both",PPIRR_DispIncr="Top"),PPIRR_Increments=3),Input!S29,IF(AND(OR(PPIRR_DispIncr="Both",PPIRR_DispIncr="Top"),PPIRR_Increments=2),Input!S29,IF(AND(OR(PPIRR_DispIncr="Both",PPIRR_DispIncr="Top"),PPIRR_Increments=1),Input!S29,IF(AND(OR(PPIRR_DispIncr="Both",PPIRR_DispIncr="Top"),PPIRR_Increments=0),AA5,IF(PPIRR_DispIncr="Bottom",AA5,""))))))),0)</f>
        <v>1.8984518621083121E-2</v>
      </c>
      <c r="J10" s="1007">
        <f>IFERROR(IF(AND(OR(PPIRR_DispIncr="Both",PPIRR_DispIncr="Top"),PPIRR_Increments=5),Input!T29,IF(AND(OR(PPIRR_DispIncr="Both",PPIRR_DispIncr="Top"),PPIRR_Increments=4),Input!T29,IF(AND(OR(PPIRR_DispIncr="Both",PPIRR_DispIncr="Top"),PPIRR_Increments=3),Input!T29,IF(AND(OR(PPIRR_DispIncr="Both",PPIRR_DispIncr="Top"),PPIRR_Increments=2),Input!T29,IF(AND(OR(PPIRR_DispIncr="Both",PPIRR_DispIncr="Top"),PPIRR_Increments=1),Input!T29,IF(AND(OR(PPIRR_DispIncr="Both",PPIRR_DispIncr="Top"),PPIRR_Increments=0),AB5,IF(PPIRR_DispIncr="Bottom",AB5,""))))))),0)</f>
        <v>-5.0307288615782819E-2</v>
      </c>
      <c r="K10" s="1007">
        <f>IFERROR(IF(AND(OR(PPIRR_DispIncr="Both",PPIRR_DispIncr="Top"),PPIRR_Increments=5),Input!U29,IF(AND(OR(PPIRR_DispIncr="Both",PPIRR_DispIncr="Top"),PPIRR_Increments=4),Input!U29,IF(AND(OR(PPIRR_DispIncr="Both",PPIRR_DispIncr="Top"),PPIRR_Increments=3),Input!U29,IF(AND(OR(PPIRR_DispIncr="Both",PPIRR_DispIncr="Top"),PPIRR_Increments=2),Input!U29,IF(AND(OR(PPIRR_DispIncr="Both",PPIRR_DispIncr="Top"),PPIRR_Increments=1),Input!U29,IF(AND(OR(PPIRR_DispIncr="Both",PPIRR_DispIncr="Top"),PPIRR_Increments=0),AC5,IF(PPIRR_DispIncr="Bottom",AC5,""))))))),0)</f>
        <v>0</v>
      </c>
      <c r="L10" s="1008">
        <f>IFERROR(IF(AND(OR(PPIRR_DispIncr="Both",PPIRR_DispIncr="Top"),PPIRR_Increments=5),Input!V29,IF(AND(OR(PPIRR_DispIncr="Both",PPIRR_DispIncr="Top"),PPIRR_Increments=4),Input!V29,IF(AND(OR(PPIRR_DispIncr="Both",PPIRR_DispIncr="Top"),PPIRR_Increments=3),Input!V29,IF(AND(OR(PPIRR_DispIncr="Both",PPIRR_DispIncr="Top"),PPIRR_Increments=2),Input!V29,IF(AND(OR(PPIRR_DispIncr="Both",PPIRR_DispIncr="Top"),PPIRR_Increments=1),Input!V29,IF(AND(OR(PPIRR_DispIncr="Both",PPIRR_DispIncr="Top"),PPIRR_Increments=0),AD5,IF(PPIRR_DispIncr="Bottom",AD5,""))))))),0)</f>
        <v>416.77692511246363</v>
      </c>
      <c r="M10" s="1006">
        <f>IFERROR(IF(AND(OR(PPIRR_DispIncr="Both",PPIRR_DispIncr="Top"),PPIRR_Increments=5),Input!W29,IF(AND(OR(PPIRR_DispIncr="Both",PPIRR_DispIncr="Top"),PPIRR_Increments=4),Input!W29,IF(AND(OR(PPIRR_DispIncr="Both",PPIRR_DispIncr="Top"),PPIRR_Increments=3),Input!W29,IF(AND(OR(PPIRR_DispIncr="Both",PPIRR_DispIncr="Top"),PPIRR_Increments=2),Input!W29,IF(AND(OR(PPIRR_DispIncr="Both",PPIRR_DispIncr="Top"),PPIRR_Increments=1),Input!W29,IF(AND(OR(PPIRR_DispIncr="Both",PPIRR_DispIncr="Top"),PPIRR_Increments=0),AE5,IF(PPIRR_DispIncr="Bottom",AE5,""))))))),0)</f>
        <v>350000</v>
      </c>
      <c r="N10" s="1009">
        <f>IFERROR(IF(AND(OR(PPIRR_DispIncr="Both",PPIRR_DispIncr="Top"),PPIRR_Increments=5),Input!X29,IF(AND(OR(PPIRR_DispIncr="Both",PPIRR_DispIncr="Top"),PPIRR_Increments=4),Input!X29,IF(AND(OR(PPIRR_DispIncr="Both",PPIRR_DispIncr="Top"),PPIRR_Increments=3),Input!X29,IF(AND(OR(PPIRR_DispIncr="Both",PPIRR_DispIncr="Top"),PPIRR_Increments=2),Input!X29,IF(AND(OR(PPIRR_DispIncr="Both",PPIRR_DispIncr="Top"),PPIRR_Increments=1),Input!X29,IF(AND(OR(PPIRR_DispIncr="Both",PPIRR_DispIncr="Top"),PPIRR_Increments=0),AF5,IF(PPIRR_DispIncr="Bottom",AF5,""))))))),0)</f>
        <v>10.759666621123104</v>
      </c>
      <c r="O10" s="854"/>
      <c r="P10" s="854"/>
      <c r="Q10" s="860"/>
      <c r="R10" s="854"/>
      <c r="S10" s="854"/>
      <c r="T10" s="854"/>
      <c r="U10" s="854"/>
      <c r="V10" s="858"/>
      <c r="W10" s="858"/>
      <c r="X10" s="731"/>
      <c r="Y10" s="731"/>
      <c r="Z10" s="731"/>
      <c r="AA10" s="731"/>
      <c r="AB10" s="731"/>
      <c r="AC10" s="731"/>
      <c r="AD10" s="731"/>
      <c r="AE10" s="731"/>
      <c r="AF10" s="731"/>
      <c r="AG10" s="731"/>
      <c r="AH10" s="731"/>
    </row>
    <row r="11" spans="1:34" s="741" customFormat="1" ht="13.5" customHeight="1">
      <c r="A11" s="854"/>
      <c r="B11" s="854"/>
      <c r="C11" s="854"/>
      <c r="D11" s="878" t="s">
        <v>1837</v>
      </c>
      <c r="E11" s="860"/>
      <c r="F11" s="1010">
        <f>Input!C9</f>
        <v>9350000</v>
      </c>
      <c r="G11" s="1011">
        <f>IFERROR('Pricing Detail'!$N$13/'Proposal Price IRR'!F11,0)</f>
        <v>4.7683000641711229E-2</v>
      </c>
      <c r="H11" s="1012">
        <f>Input!R30</f>
        <v>6.1097886631016042E-2</v>
      </c>
      <c r="I11" s="1011">
        <f>Input!S30</f>
        <v>2.0371538036526068E-2</v>
      </c>
      <c r="J11" s="1011">
        <f>IFERROR(Input!T30,0)</f>
        <v>-4.8414069588595399E-2</v>
      </c>
      <c r="K11" s="1011">
        <f>IFERROR(Input!U30,0)</f>
        <v>0</v>
      </c>
      <c r="L11" s="1013">
        <f>IFERROR(Input!V30,0)</f>
        <v>412.36658728058569</v>
      </c>
      <c r="M11" s="1014">
        <f>IFERROR(Input!W30,0)</f>
        <v>346296.29629629629</v>
      </c>
      <c r="N11" s="1015">
        <f>IFERROR(Input!X30,0)</f>
        <v>10.645807715079474</v>
      </c>
      <c r="O11" s="854"/>
      <c r="P11" s="854"/>
      <c r="Q11" s="860"/>
      <c r="R11" s="854"/>
      <c r="S11" s="854"/>
      <c r="T11" s="854"/>
      <c r="U11" s="854"/>
      <c r="V11" s="858"/>
      <c r="W11" s="858"/>
      <c r="X11" s="731"/>
      <c r="Y11" s="731"/>
      <c r="Z11" s="731"/>
      <c r="AA11" s="731"/>
      <c r="AB11" s="731"/>
      <c r="AC11" s="731"/>
      <c r="AD11" s="731"/>
      <c r="AE11" s="731"/>
      <c r="AF11" s="731"/>
      <c r="AG11" s="731"/>
      <c r="AH11" s="731"/>
    </row>
    <row r="12" spans="1:34" s="741" customFormat="1" ht="13.5" customHeight="1">
      <c r="A12" s="854"/>
      <c r="B12" s="854"/>
      <c r="C12" s="854"/>
      <c r="D12" s="1630">
        <f ca="1">IF(PPIRR_DispIncr="Top",F11,IF(PPIRR_DispIncr="Bottom",OFFSET(F11,PPIRR_Increments,0),IF(PPIRR_DispIncr="Both",OFFSET(F11,PPIRR_Increments,0),"")))</f>
        <v>8850000</v>
      </c>
      <c r="E12" s="860"/>
      <c r="F12" s="1006">
        <f>IF(AND(OR(PPIRR_DispIncr="Both",PPIRR_DispIncr="Bottom"),PPIRR_Increments=5),-1*Input!$B$34+Price,IF(AND(OR(PPIRR_DispIncr="Both",PPIRR_DispIncr="Bottom"),PPIRR_Increments=4),-1*Input!$B$34+Price,IF(AND(OR(PPIRR_DispIncr="Both",PPIRR_DispIncr="Bottom"),PPIRR_Increments=3),-1*Input!$B$34+Price,IF(AND(OR(PPIRR_DispIncr="Both",PPIRR_DispIncr="Bottom"),PPIRR_Increments=2),-1*Input!$B$34+Price,IF(AND(OR(PPIRR_DispIncr="Both",PPIRR_DispIncr="Bottom"),PPIRR_Increments=1),-1*Input!$B$34+Price,"")))))</f>
        <v>9250000</v>
      </c>
      <c r="G12" s="1007">
        <f>IFERROR(IF(AND(OR(PPIRR_DispIncr="Both",PPIRR_DispIncr="Bottom"),PPIRR_Increments=5),'Pricing Detail'!$N$13/'Proposal Price IRR'!F12,IF(AND(OR(PPIRR_DispIncr="Both",PPIRR_DispIncr="Bottom"),PPIRR_Increments=4),'Pricing Detail'!$N$13/'Proposal Price IRR'!F12,IF(AND(OR(PPIRR_DispIncr="Both",PPIRR_DispIncr="Bottom"),PPIRR_Increments=3),'Pricing Detail'!$N$13/'Proposal Price IRR'!F12,IF(AND(OR(PPIRR_DispIncr="Both",PPIRR_DispIncr="Bottom"),PPIRR_Increments=2),'Pricing Detail'!$N$13/'Proposal Price IRR'!F12,IF(AND(OR(PPIRR_DispIncr="Both",PPIRR_DispIncr="Bottom"),PPIRR_Increments=1),'Pricing Detail'!$N$13/'Proposal Price IRR'!F12,""))))),0)</f>
        <v>4.8198492540540538E-2</v>
      </c>
      <c r="H12" s="1007">
        <f>IFERROR(IF(AND(OR(PPIRR_DispIncr="Both",PPIRR_DispIncr="Bottom"),PPIRR_Increments=5),Input!R31,IF(AND(OR(PPIRR_DispIncr="Both",PPIRR_DispIncr="Bottom"),PPIRR_Increments=4),Input!R31,IF(AND(OR(PPIRR_DispIncr="Both",PPIRR_DispIncr="Bottom"),PPIRR_Increments=3),Input!R31,IF(AND(OR(PPIRR_DispIncr="Both",PPIRR_DispIncr="Bottom"),PPIRR_Increments=2),Input!R31,IF(AND(OR(PPIRR_DispIncr="Both",PPIRR_DispIncr="Bottom"),PPIRR_Increments=1),Input!R31,""))))),0)</f>
        <v>6.1880566486486488E-2</v>
      </c>
      <c r="I12" s="1007">
        <f>IFERROR(IF(AND(OR(PPIRR_DispIncr="Both",PPIRR_DispIncr="Bottom"),PPIRR_Increments=5),Input!S31,IF(AND(OR(PPIRR_DispIncr="Both",PPIRR_DispIncr="Bottom"),PPIRR_Increments=4),Input!S31,IF(AND(OR(PPIRR_DispIncr="Both",PPIRR_DispIncr="Bottom"),PPIRR_Increments=3),Input!S31,IF(AND(OR(PPIRR_DispIncr="Both",PPIRR_DispIncr="Bottom"),PPIRR_Increments=2),Input!S31,IF(AND(OR(PPIRR_DispIncr="Both",PPIRR_DispIncr="Bottom"),PPIRR_Increments=1),Input!S31,""))))),0)</f>
        <v>2.1788547060951582E-2</v>
      </c>
      <c r="J12" s="1007">
        <f>IFERROR(IF(AND(OR(PPIRR_DispIncr="Both",PPIRR_DispIncr="Bottom"),PPIRR_Increments=5),Input!T31,IF(AND(OR(PPIRR_DispIncr="Both",PPIRR_DispIncr="Bottom"),PPIRR_Increments=4),Input!T31,IF(AND(OR(PPIRR_DispIncr="Both",PPIRR_DispIncr="Bottom"),PPIRR_Increments=3),Input!T31,IF(AND(OR(PPIRR_DispIncr="Both",PPIRR_DispIncr="Bottom"),PPIRR_Increments=2),Input!T31,IF(AND(OR(PPIRR_DispIncr="Both",PPIRR_DispIncr="Bottom"),PPIRR_Increments=1),Input!T31,""))))),0)</f>
        <v>-4.6495037772954606E-2</v>
      </c>
      <c r="K12" s="1007">
        <f>IFERROR(IF(AND(OR(PPIRR_DispIncr="Both",PPIRR_DispIncr="Bottom"),PPIRR_Increments=5),Input!U31,IF(AND(OR(PPIRR_DispIncr="Both",PPIRR_DispIncr="Bottom"),PPIRR_Increments=4),Input!U31,IF(AND(OR(PPIRR_DispIncr="Both",PPIRR_DispIncr="Bottom"),PPIRR_Increments=3),Input!U31,IF(AND(OR(PPIRR_DispIncr="Both",PPIRR_DispIncr="Bottom"),PPIRR_Increments=2),Input!U31,IF(AND(OR(PPIRR_DispIncr="Both",PPIRR_DispIncr="Bottom"),PPIRR_Increments=1),Input!U31,""))))),0)</f>
        <v>0</v>
      </c>
      <c r="L12" s="1008">
        <f>IFERROR(IF(AND(OR(PPIRR_DispIncr="Both",PPIRR_DispIncr="Bottom"),PPIRR_Increments=5),Input!V31,IF(AND(OR(PPIRR_DispIncr="Both",PPIRR_DispIncr="Bottom"),PPIRR_Increments=4),Input!V31,IF(AND(OR(PPIRR_DispIncr="Both",PPIRR_DispIncr="Bottom"),PPIRR_Increments=3),Input!V31,IF(AND(OR(PPIRR_DispIncr="Both",PPIRR_DispIncr="Bottom"),PPIRR_Increments=2),Input!V31,IF(AND(OR(PPIRR_DispIncr="Both",PPIRR_DispIncr="Bottom"),PPIRR_Increments=1),Input!V31,""))))),0)</f>
        <v>407.95624944870775</v>
      </c>
      <c r="M12" s="1006">
        <f>IFERROR(IF(AND(OR(PPIRR_DispIncr="Both",PPIRR_DispIncr="Bottom"),PPIRR_Increments=5),Input!W31,IF(AND(OR(PPIRR_DispIncr="Both",PPIRR_DispIncr="Bottom"),PPIRR_Increments=4),Input!W31,IF(AND(OR(PPIRR_DispIncr="Both",PPIRR_DispIncr="Bottom"),PPIRR_Increments=3),Input!W31,IF(AND(OR(PPIRR_DispIncr="Both",PPIRR_DispIncr="Bottom"),PPIRR_Increments=2),Input!W31,IF(AND(OR(PPIRR_DispIncr="Both",PPIRR_DispIncr="Bottom"),PPIRR_Increments=1),Input!W31,""))))),0)</f>
        <v>342592.59259259258</v>
      </c>
      <c r="N12" s="1009">
        <f>IFERROR(IF(AND(OR(PPIRR_DispIncr="Both",PPIRR_DispIncr="Bottom"),PPIRR_Increments=5),Input!X31,IF(AND(OR(PPIRR_DispIncr="Both",PPIRR_DispIncr="Bottom"),PPIRR_Increments=4),Input!X31,IF(AND(OR(PPIRR_DispIncr="Both",PPIRR_DispIncr="Bottom"),PPIRR_Increments=3),Input!X31,IF(AND(OR(PPIRR_DispIncr="Both",PPIRR_DispIncr="Bottom"),PPIRR_Increments=2),Input!X31,IF(AND(OR(PPIRR_DispIncr="Both",PPIRR_DispIncr="Bottom"),PPIRR_Increments=1),Input!X31,""))))),0)</f>
        <v>10.531948809035843</v>
      </c>
      <c r="O12" s="854"/>
      <c r="P12" s="854"/>
      <c r="Q12" s="860"/>
      <c r="R12" s="854"/>
      <c r="S12" s="854"/>
      <c r="T12" s="854"/>
      <c r="U12" s="854"/>
      <c r="V12" s="858"/>
      <c r="W12" s="858"/>
      <c r="X12" s="731"/>
      <c r="Y12" s="731"/>
      <c r="Z12" s="731"/>
      <c r="AA12" s="731"/>
      <c r="AB12" s="731"/>
      <c r="AC12" s="731"/>
      <c r="AD12" s="731"/>
      <c r="AE12" s="731"/>
      <c r="AF12" s="731"/>
      <c r="AG12" s="731"/>
      <c r="AH12" s="731"/>
    </row>
    <row r="13" spans="1:34" s="741" customFormat="1" ht="13.5" customHeight="1">
      <c r="A13" s="854"/>
      <c r="B13" s="854"/>
      <c r="C13" s="854"/>
      <c r="D13" s="1630"/>
      <c r="E13" s="860"/>
      <c r="F13" s="1006">
        <f>IF(AND(OR(PPIRR_DispIncr="Both",PPIRR_DispIncr="Bottom"),PPIRR_Increments=5),-2*Input!$B$34+Price,IF(AND(OR(PPIRR_DispIncr="Both",PPIRR_DispIncr="Bottom"),PPIRR_Increments=4),-2*Input!$B$34+Price,IF(AND(OR(PPIRR_DispIncr="Both",PPIRR_DispIncr="Bottom"),PPIRR_Increments=3),-2*Input!$B$34+Price,IF(AND(OR(PPIRR_DispIncr="Both",PPIRR_DispIncr="Bottom"),PPIRR_Increments=2),-2*Input!$B$34+Price,""))))</f>
        <v>9150000</v>
      </c>
      <c r="G13" s="1007">
        <f>IFERROR(IF(AND(OR(PPIRR_DispIncr="Both",PPIRR_DispIncr="Bottom"),PPIRR_Increments=5),'Pricing Detail'!$N$13/'Proposal Price IRR'!F13,IF(AND(OR(PPIRR_DispIncr="Both",PPIRR_DispIncr="Bottom"),PPIRR_Increments=4),'Pricing Detail'!$N$13/'Proposal Price IRR'!F13,IF(AND(OR(PPIRR_DispIncr="Both",PPIRR_DispIncr="Bottom"),PPIRR_Increments=3),'Pricing Detail'!$N$13/'Proposal Price IRR'!F13,IF(AND(OR(PPIRR_DispIncr="Both",PPIRR_DispIncr="Bottom"),PPIRR_Increments=2),'Pricing Detail'!$N$13/'Proposal Price IRR'!F13,"")))),0)</f>
        <v>4.8725252021857922E-2</v>
      </c>
      <c r="H13" s="1007">
        <f>IFERROR(IF(AND(OR(PPIRR_DispIncr="Both",PPIRR_DispIncr="Bottom"),PPIRR_Increments=5),Input!R32,IF(AND(OR(PPIRR_DispIncr="Both",PPIRR_DispIncr="Bottom"),PPIRR_Increments=4),Input!R32,IF(AND(OR(PPIRR_DispIncr="Both",PPIRR_DispIncr="Bottom"),PPIRR_Increments=3),Input!R32,IF(AND(OR(PPIRR_DispIncr="Both",PPIRR_DispIncr="Bottom"),PPIRR_Increments=2),Input!R32,"")))),0)</f>
        <v>6.2680354098360661E-2</v>
      </c>
      <c r="I13" s="1007">
        <f>IFERROR(IF(AND(OR(PPIRR_DispIncr="Both",PPIRR_DispIncr="Bottom"),PPIRR_Increments=5),Input!S32,IF(AND(OR(PPIRR_DispIncr="Both",PPIRR_DispIncr="Bottom"),PPIRR_Increments=4),Input!S32,IF(AND(OR(PPIRR_DispIncr="Both",PPIRR_DispIncr="Bottom"),PPIRR_Increments=3),Input!S32,IF(AND(OR(PPIRR_DispIncr="Both",PPIRR_DispIncr="Bottom"),PPIRR_Increments=2),Input!S32,"")))),0)</f>
        <v>2.3236528960227897E-2</v>
      </c>
      <c r="J13" s="1007">
        <f>IFERROR(IF(AND(OR(PPIRR_DispIncr="Both",PPIRR_DispIncr="Bottom"),PPIRR_Increments=5),Input!T32,IF(AND(OR(PPIRR_DispIncr="Both",PPIRR_DispIncr="Bottom"),PPIRR_Increments=4),Input!T32,IF(AND(OR(PPIRR_DispIncr="Both",PPIRR_DispIncr="Bottom"),PPIRR_Increments=3),Input!T32,IF(AND(OR(PPIRR_DispIncr="Both",PPIRR_DispIncr="Bottom"),PPIRR_Increments=2),Input!T32,"")))),0)</f>
        <v>-4.4549486124934146E-2</v>
      </c>
      <c r="K13" s="1007">
        <f>IFERROR(IF(AND(OR(PPIRR_DispIncr="Both",PPIRR_DispIncr="Bottom"),PPIRR_Increments=5),Input!U32,IF(AND(OR(PPIRR_DispIncr="Both",PPIRR_DispIncr="Bottom"),PPIRR_Increments=4),Input!U32,IF(AND(OR(PPIRR_DispIncr="Both",PPIRR_DispIncr="Bottom"),PPIRR_Increments=3),Input!U32,IF(AND(OR(PPIRR_DispIncr="Both",PPIRR_DispIncr="Bottom"),PPIRR_Increments=2),Input!U32,"")))),0)</f>
        <v>0</v>
      </c>
      <c r="L13" s="1008">
        <f>IFERROR(IF(AND(OR(PPIRR_DispIncr="Both",PPIRR_DispIncr="Bottom"),PPIRR_Increments=5),Input!V32,IF(AND(OR(PPIRR_DispIncr="Both",PPIRR_DispIncr="Bottom"),PPIRR_Increments=4),Input!V32,IF(AND(OR(PPIRR_DispIncr="Both",PPIRR_DispIncr="Bottom"),PPIRR_Increments=3),Input!V32,IF(AND(OR(PPIRR_DispIncr="Both",PPIRR_DispIncr="Bottom"),PPIRR_Increments=2),Input!V32,"")))),0)</f>
        <v>403.54591161682987</v>
      </c>
      <c r="M13" s="1006">
        <f>IFERROR(IF(AND(OR(PPIRR_DispIncr="Both",PPIRR_DispIncr="Bottom"),PPIRR_Increments=5),Input!W32,IF(AND(OR(PPIRR_DispIncr="Both",PPIRR_DispIncr="Bottom"),PPIRR_Increments=4),Input!W32,IF(AND(OR(PPIRR_DispIncr="Both",PPIRR_DispIncr="Bottom"),PPIRR_Increments=3),Input!W32,IF(AND(OR(PPIRR_DispIncr="Both",PPIRR_DispIncr="Bottom"),PPIRR_Increments=2),Input!W32,"")))),0)</f>
        <v>338888.88888888888</v>
      </c>
      <c r="N13" s="1009">
        <f>IFERROR(IF(AND(OR(PPIRR_DispIncr="Both",PPIRR_DispIncr="Bottom"),PPIRR_Increments=5),Input!X32,IF(AND(OR(PPIRR_DispIncr="Both",PPIRR_DispIncr="Bottom"),PPIRR_Increments=4),Input!X32,IF(AND(OR(PPIRR_DispIncr="Both",PPIRR_DispIncr="Bottom"),PPIRR_Increments=3),Input!X32,IF(AND(OR(PPIRR_DispIncr="Both",PPIRR_DispIncr="Bottom"),PPIRR_Increments=2),Input!X32,"")))),0)</f>
        <v>10.418089902992213</v>
      </c>
      <c r="O13" s="854"/>
      <c r="P13" s="854"/>
      <c r="Q13" s="860"/>
      <c r="R13" s="854"/>
      <c r="S13" s="854"/>
      <c r="T13" s="854"/>
      <c r="U13" s="854"/>
      <c r="V13" s="858"/>
      <c r="W13" s="858"/>
      <c r="X13" s="731"/>
      <c r="Y13" s="731"/>
      <c r="Z13" s="731"/>
      <c r="AA13" s="731"/>
      <c r="AB13" s="731"/>
      <c r="AC13" s="731"/>
      <c r="AD13" s="731"/>
      <c r="AE13" s="731"/>
      <c r="AF13" s="731"/>
      <c r="AG13" s="731"/>
      <c r="AH13" s="731"/>
    </row>
    <row r="14" spans="1:34" s="741" customFormat="1" ht="13.5" customHeight="1">
      <c r="A14" s="854"/>
      <c r="B14" s="854"/>
      <c r="C14" s="854"/>
      <c r="D14" s="1630"/>
      <c r="E14" s="860"/>
      <c r="F14" s="1006">
        <f>IF(AND(OR(PPIRR_DispIncr="Both",PPIRR_DispIncr="Bottom"),PPIRR_Increments=5),-3*Input!$B$34+Price,IF(AND(OR(PPIRR_DispIncr="Both",PPIRR_DispIncr="Bottom"),PPIRR_Increments=4),-3*Input!$B$34+Price,IF(AND(OR(PPIRR_DispIncr="Both",PPIRR_DispIncr="Bottom"),PPIRR_Increments=3),-3*Input!$B$34+Price,"")))</f>
        <v>9050000</v>
      </c>
      <c r="G14" s="1007">
        <f>IFERROR(IF(AND(OR(PPIRR_DispIncr="Both",PPIRR_DispIncr="Bottom"),PPIRR_Increments=5),'Pricing Detail'!$N$13/'Proposal Price IRR'!F14,IF(AND(OR(PPIRR_DispIncr="Both",PPIRR_DispIncr="Bottom"),PPIRR_Increments=4),'Pricing Detail'!$N$13/'Proposal Price IRR'!F14,IF(AND(OR(PPIRR_DispIncr="Both",PPIRR_DispIncr="Bottom"),PPIRR_Increments=3),'Pricing Detail'!$N$13/'Proposal Price IRR'!F14,""))),0)</f>
        <v>4.9263652596685081E-2</v>
      </c>
      <c r="H14" s="1007">
        <f>IFERROR(IF(AND(OR(PPIRR_DispIncr="Both",PPIRR_DispIncr="Bottom"),PPIRR_Increments=5),Input!R33,IF(AND(OR(PPIRR_DispIncr="Both",PPIRR_DispIncr="Bottom"),PPIRR_Increments=4),Input!R33,IF(AND(OR(PPIRR_DispIncr="Both",PPIRR_DispIncr="Bottom"),PPIRR_Increments=3),Input!R33,""))),0)</f>
        <v>6.3497816574585628E-2</v>
      </c>
      <c r="I14" s="1007">
        <f>IFERROR(IF(AND(OR(PPIRR_DispIncr="Both",PPIRR_DispIncr="Bottom"),PPIRR_Increments=5),Input!S33,IF(AND(OR(PPIRR_DispIncr="Both",PPIRR_DispIncr="Bottom"),PPIRR_Increments=4),Input!S33,IF(AND(OR(PPIRR_DispIncr="Both",PPIRR_DispIncr="Bottom"),PPIRR_Increments=3),Input!S33,""))),0)</f>
        <v>2.4716510459488233E-2</v>
      </c>
      <c r="J14" s="1007">
        <f>IFERROR(IF(AND(OR(PPIRR_DispIncr="Both",PPIRR_DispIncr="Bottom"),PPIRR_Increments=5),Input!T33,IF(AND(OR(PPIRR_DispIncr="Both",PPIRR_DispIncr="Bottom"),PPIRR_Increments=4),Input!T33,IF(AND(OR(PPIRR_DispIncr="Both",PPIRR_DispIncr="Bottom"),PPIRR_Increments=3),Input!T33,""))),0)</f>
        <v>-4.25766796860374E-2</v>
      </c>
      <c r="K14" s="1007">
        <f>IFERROR(IF(AND(OR(PPIRR_DispIncr="Both",PPIRR_DispIncr="Bottom"),PPIRR_Increments=5),Input!U33,IF(AND(OR(PPIRR_DispIncr="Both",PPIRR_DispIncr="Bottom"),PPIRR_Increments=4),Input!U33,IF(AND(OR(PPIRR_DispIncr="Both",PPIRR_DispIncr="Bottom"),PPIRR_Increments=3),Input!U33,""))),0)</f>
        <v>0</v>
      </c>
      <c r="L14" s="1008">
        <f>IFERROR(IF(AND(OR(PPIRR_DispIncr="Both",PPIRR_DispIncr="Bottom"),PPIRR_Increments=5),Input!V33,IF(AND(OR(PPIRR_DispIncr="Both",PPIRR_DispIncr="Bottom"),PPIRR_Increments=4),Input!V33,IF(AND(OR(PPIRR_DispIncr="Both",PPIRR_DispIncr="Bottom"),PPIRR_Increments=3),Input!V33,""))),0)</f>
        <v>399.13557378495193</v>
      </c>
      <c r="M14" s="1006">
        <f>IFERROR(IF(AND(OR(PPIRR_DispIncr="Both",PPIRR_DispIncr="Bottom"),PPIRR_Increments=5),Input!W33,IF(AND(OR(PPIRR_DispIncr="Both",PPIRR_DispIncr="Bottom"),PPIRR_Increments=4),Input!W33,IF(AND(OR(PPIRR_DispIncr="Both",PPIRR_DispIncr="Bottom"),PPIRR_Increments=3),Input!W33,""))),0)</f>
        <v>335185.18518518517</v>
      </c>
      <c r="N14" s="1009">
        <f>IFERROR(IF(AND(OR(PPIRR_DispIncr="Both",PPIRR_DispIncr="Bottom"),PPIRR_Increments=5),Input!X33,IF(AND(OR(PPIRR_DispIncr="Both",PPIRR_DispIncr="Bottom"),PPIRR_Increments=4),Input!X33,IF(AND(OR(PPIRR_DispIncr="Both",PPIRR_DispIncr="Bottom"),PPIRR_Increments=3),Input!X33,""))),0)</f>
        <v>10.304230996948581</v>
      </c>
      <c r="O14" s="854"/>
      <c r="P14" s="854"/>
      <c r="Q14" s="860"/>
      <c r="R14" s="854"/>
      <c r="S14" s="854"/>
      <c r="T14" s="854"/>
      <c r="U14" s="854"/>
      <c r="V14" s="858"/>
      <c r="W14" s="858"/>
      <c r="X14" s="731"/>
      <c r="Y14" s="731"/>
      <c r="Z14" s="731"/>
      <c r="AA14" s="731"/>
      <c r="AB14" s="731"/>
      <c r="AC14" s="731"/>
      <c r="AD14" s="731"/>
      <c r="AE14" s="731"/>
      <c r="AF14" s="731"/>
      <c r="AG14" s="731"/>
      <c r="AH14" s="731"/>
    </row>
    <row r="15" spans="1:34" s="741" customFormat="1" ht="13.5" customHeight="1">
      <c r="A15" s="854"/>
      <c r="B15" s="854"/>
      <c r="C15" s="854"/>
      <c r="D15" s="879"/>
      <c r="E15" s="860"/>
      <c r="F15" s="1006">
        <f>IF(AND(OR(PPIRR_DispIncr="Both",PPIRR_DispIncr="Bottom"),PPIRR_Increments=5),-4*Input!$B$34+Price,IF(AND(OR(PPIRR_DispIncr="Both",PPIRR_DispIncr="Bottom"),PPIRR_Increments=4),-4*Input!$B$34+Price,""))</f>
        <v>8950000</v>
      </c>
      <c r="G15" s="1007">
        <f>IFERROR(IF(AND(OR(PPIRR_DispIncr="Both",PPIRR_DispIncr="Bottom"),PPIRR_Increments=5),'Pricing Detail'!$N$13/'Proposal Price IRR'!F15,IF(AND(OR(PPIRR_DispIncr="Both",PPIRR_DispIncr="Bottom"),PPIRR_Increments=4),'Pricing Detail'!$N$13/'Proposal Price IRR'!F15,"")),0)</f>
        <v>4.9814084469273739E-2</v>
      </c>
      <c r="H15" s="1007">
        <f>IFERROR(IF(AND(OR(PPIRR_DispIncr="Both",PPIRR_DispIncr="Bottom"),PPIRR_Increments=5),Input!R34,IF(AND(OR(PPIRR_DispIncr="Both",PPIRR_DispIncr="Bottom"),PPIRR_Increments=4),Input!R34,"")),0)</f>
        <v>6.4333546368715078E-2</v>
      </c>
      <c r="I15" s="1007">
        <f>IFERROR(IF(AND(OR(PPIRR_DispIncr="Both",PPIRR_DispIncr="Bottom"),PPIRR_Increments=5),Input!S34,IF(AND(OR(PPIRR_DispIncr="Both",PPIRR_DispIncr="Bottom"),PPIRR_Increments=4),Input!S34,"")),0)</f>
        <v>2.6229564171022512E-2</v>
      </c>
      <c r="J15" s="1007">
        <f>IFERROR(IF(AND(OR(PPIRR_DispIncr="Both",PPIRR_DispIncr="Bottom"),PPIRR_Increments=5),Input!T34,IF(AND(OR(PPIRR_DispIncr="Both",PPIRR_DispIncr="Bottom"),PPIRR_Increments=4),Input!T34,"")),0)</f>
        <v>-4.0575854132725131E-2</v>
      </c>
      <c r="K15" s="1007">
        <f>IFERROR(IF(AND(OR(PPIRR_DispIncr="Both",PPIRR_DispIncr="Bottom"),PPIRR_Increments=5),Input!U34,IF(AND(OR(PPIRR_DispIncr="Both",PPIRR_DispIncr="Bottom"),PPIRR_Increments=4),Input!U34,"")),0)</f>
        <v>0</v>
      </c>
      <c r="L15" s="1008">
        <f>IFERROR(IF(AND(OR(PPIRR_DispIncr="Both",PPIRR_DispIncr="Bottom"),PPIRR_Increments=5),Input!V34,IF(AND(OR(PPIRR_DispIncr="Both",PPIRR_DispIncr="Bottom"),PPIRR_Increments=4),Input!V34,"")),0)</f>
        <v>394.72523595307399</v>
      </c>
      <c r="M15" s="1006">
        <f>IFERROR(IF(AND(OR(PPIRR_DispIncr="Both",PPIRR_DispIncr="Bottom"),PPIRR_Increments=5),Input!W34,IF(AND(OR(PPIRR_DispIncr="Both",PPIRR_DispIncr="Bottom"),PPIRR_Increments=4),Input!W34,"")),0)</f>
        <v>331481.48148148146</v>
      </c>
      <c r="N15" s="1009">
        <f>IFERROR(IF(AND(OR(PPIRR_DispIncr="Both",PPIRR_DispIncr="Bottom"),PPIRR_Increments=5),Input!X34,IF(AND(OR(PPIRR_DispIncr="Both",PPIRR_DispIncr="Bottom"),PPIRR_Increments=4),Input!X34,"")),0)</f>
        <v>10.190372090904951</v>
      </c>
      <c r="O15" s="854"/>
      <c r="P15" s="854"/>
      <c r="Q15" s="860"/>
      <c r="R15" s="854"/>
      <c r="S15" s="854"/>
      <c r="T15" s="854"/>
      <c r="U15" s="854"/>
      <c r="V15" s="858"/>
      <c r="W15" s="858"/>
      <c r="X15" s="731"/>
      <c r="Y15" s="731"/>
      <c r="Z15" s="731"/>
      <c r="AA15" s="731"/>
      <c r="AB15" s="731"/>
      <c r="AC15" s="731"/>
      <c r="AD15" s="731"/>
      <c r="AE15" s="731"/>
      <c r="AF15" s="731"/>
      <c r="AG15" s="731"/>
      <c r="AH15" s="731"/>
    </row>
    <row r="16" spans="1:34" s="741" customFormat="1" ht="13.5" customHeight="1">
      <c r="A16" s="854"/>
      <c r="B16" s="854"/>
      <c r="C16" s="854"/>
      <c r="D16" s="879"/>
      <c r="E16" s="862"/>
      <c r="F16" s="1006">
        <f>IF(AND(OR(PPIRR_DispIncr="Both",PPIRR_DispIncr="Bottom"),PPIRR_Increments=5),-5*Input!$B$34+Price,"")</f>
        <v>8850000</v>
      </c>
      <c r="G16" s="1007">
        <f>IFERROR(IF(AND(OR(PPIRR_DispIncr="Both",PPIRR_DispIncr="Bottom"),PPIRR_Increments=5),'Pricing Detail'!$N$13/'Proposal Price IRR'!F16,""),0)</f>
        <v>5.0376955480225985E-2</v>
      </c>
      <c r="H16" s="1007">
        <f>IFERROR(IF(AND(OR(PPIRR_DispIncr="Both",PPIRR_DispIncr="Bottom"),PPIRR_Increments=5),Input!R35,""),0)</f>
        <v>6.5188162711864409E-2</v>
      </c>
      <c r="I16" s="1007">
        <f>IFERROR(IF(AND(OR(PPIRR_DispIncr="Both",PPIRR_DispIncr="Bottom"),PPIRR_Increments=5),Input!S35,""),0)</f>
        <v>2.7776811186772301E-2</v>
      </c>
      <c r="J16" s="1007">
        <f>IFERROR(IF(AND(OR(PPIRR_DispIncr="Both",PPIRR_DispIncr="Bottom"),PPIRR_Increments=5),Input!T35,""),0)</f>
        <v>-3.8546214232316633E-2</v>
      </c>
      <c r="K16" s="1007">
        <f>IFERROR(IF(AND(OR(PPIRR_DispIncr="Both",PPIRR_DispIncr="Bottom"),PPIRR_Increments=5),Input!U35,""),0)</f>
        <v>0</v>
      </c>
      <c r="L16" s="1008">
        <f>IFERROR(IF(AND(OR(PPIRR_DispIncr="Both",PPIRR_DispIncr="Bottom"),PPIRR_Increments=5),Input!V35,""),0)</f>
        <v>390.31489812119611</v>
      </c>
      <c r="M16" s="1006">
        <f>IFERROR(IF(AND(OR(PPIRR_DispIncr="Both",PPIRR_DispIncr="Bottom"),PPIRR_Increments=5),Input!W35,""),0)</f>
        <v>327777.77777777775</v>
      </c>
      <c r="N16" s="1009">
        <f>IFERROR(IF(AND(OR(PPIRR_DispIncr="Both",PPIRR_DispIncr="Bottom"),PPIRR_Increments=5),Input!X35,""),0)</f>
        <v>10.076513184861319</v>
      </c>
      <c r="O16" s="854"/>
      <c r="P16" s="854"/>
      <c r="Q16" s="860"/>
      <c r="R16" s="854"/>
      <c r="S16" s="854"/>
      <c r="T16" s="854"/>
      <c r="U16" s="854"/>
      <c r="V16" s="858"/>
      <c r="W16" s="858"/>
      <c r="X16" s="731"/>
      <c r="Y16" s="731"/>
      <c r="Z16" s="731"/>
      <c r="AA16" s="731"/>
      <c r="AB16" s="731"/>
      <c r="AC16" s="731"/>
      <c r="AD16" s="731"/>
      <c r="AE16" s="731"/>
      <c r="AF16" s="731"/>
      <c r="AG16" s="731"/>
      <c r="AH16" s="731"/>
    </row>
    <row r="17" spans="1:34" s="741" customFormat="1" ht="13.5" customHeight="1">
      <c r="A17" s="854"/>
      <c r="B17" s="854"/>
      <c r="C17" s="854"/>
      <c r="D17" s="598"/>
      <c r="E17" s="862"/>
      <c r="F17" s="863"/>
      <c r="G17" s="863"/>
      <c r="H17" s="864"/>
      <c r="I17" s="864"/>
      <c r="J17" s="864"/>
      <c r="K17" s="864"/>
      <c r="L17" s="865"/>
      <c r="M17" s="863"/>
      <c r="N17" s="854"/>
      <c r="O17" s="854"/>
      <c r="P17" s="854"/>
      <c r="Q17" s="860"/>
      <c r="R17" s="854"/>
      <c r="S17" s="854"/>
      <c r="T17" s="854"/>
      <c r="U17" s="854"/>
      <c r="V17" s="858"/>
      <c r="W17" s="858"/>
      <c r="X17" s="731"/>
      <c r="Y17" s="731"/>
      <c r="Z17" s="731"/>
      <c r="AA17" s="731"/>
      <c r="AB17" s="731"/>
      <c r="AC17" s="731"/>
      <c r="AD17" s="731"/>
      <c r="AE17" s="731"/>
      <c r="AF17" s="731"/>
      <c r="AG17" s="731"/>
      <c r="AH17" s="731"/>
    </row>
    <row r="18" spans="1:34" s="741" customFormat="1" ht="13.5" customHeight="1">
      <c r="A18" s="854"/>
      <c r="B18" s="854"/>
      <c r="C18" s="854"/>
      <c r="D18" s="598"/>
      <c r="E18" s="862"/>
      <c r="F18" s="863"/>
      <c r="G18" s="863"/>
      <c r="H18" s="864"/>
      <c r="I18" s="864"/>
      <c r="J18" s="864"/>
      <c r="K18" s="864"/>
      <c r="L18" s="865"/>
      <c r="M18" s="863"/>
      <c r="N18" s="854"/>
      <c r="O18" s="854"/>
      <c r="P18" s="854"/>
      <c r="Q18" s="860"/>
      <c r="R18" s="854"/>
      <c r="S18" s="854"/>
      <c r="T18" s="854"/>
      <c r="U18" s="854"/>
      <c r="V18" s="858"/>
      <c r="W18" s="858"/>
      <c r="X18" s="731"/>
      <c r="Y18" s="731"/>
      <c r="Z18" s="731"/>
      <c r="AA18" s="731"/>
      <c r="AB18" s="731"/>
      <c r="AC18" s="731"/>
      <c r="AD18" s="731"/>
      <c r="AE18" s="731"/>
      <c r="AF18" s="731"/>
      <c r="AG18" s="731"/>
      <c r="AH18" s="731"/>
    </row>
    <row r="19" spans="1:34" s="741" customFormat="1" ht="13.5" customHeight="1">
      <c r="A19" s="854"/>
      <c r="B19" s="854"/>
      <c r="C19" s="854"/>
      <c r="D19" s="860"/>
      <c r="E19" s="862"/>
      <c r="F19" s="866"/>
      <c r="G19" s="866"/>
      <c r="H19" s="864"/>
      <c r="I19" s="864"/>
      <c r="J19" s="864"/>
      <c r="K19" s="864"/>
      <c r="L19" s="865"/>
      <c r="M19" s="863"/>
      <c r="N19" s="854"/>
      <c r="O19" s="854"/>
      <c r="P19" s="854"/>
      <c r="Q19" s="860"/>
      <c r="R19" s="854"/>
      <c r="S19" s="854"/>
      <c r="T19" s="854"/>
      <c r="U19" s="854"/>
      <c r="V19" s="858"/>
      <c r="W19" s="858"/>
      <c r="X19" s="731"/>
      <c r="Y19" s="731"/>
      <c r="Z19" s="731"/>
      <c r="AA19" s="731"/>
      <c r="AB19" s="731"/>
      <c r="AC19" s="731"/>
      <c r="AD19" s="731"/>
      <c r="AE19" s="731"/>
      <c r="AF19" s="731"/>
      <c r="AG19" s="731"/>
      <c r="AH19" s="731"/>
    </row>
    <row r="20" spans="1:34" s="741" customFormat="1" ht="13.5" customHeight="1">
      <c r="A20" s="854"/>
      <c r="B20" s="854"/>
      <c r="C20" s="854"/>
      <c r="D20" s="1626" t="s">
        <v>1853</v>
      </c>
      <c r="E20" s="1626"/>
      <c r="F20" s="1626"/>
      <c r="G20" s="1626"/>
      <c r="H20" s="1626"/>
      <c r="I20" s="1626"/>
      <c r="J20" s="860"/>
      <c r="K20" s="1049" t="s">
        <v>1838</v>
      </c>
      <c r="L20" s="1049"/>
      <c r="M20" s="759" t="str">
        <f>IF(SwitchMezz="Yes","1st Loan","")</f>
        <v/>
      </c>
      <c r="N20" s="759" t="str">
        <f>IF(SwitchMezz="Yes","Mezzanine","1st Loan")</f>
        <v>1st Loan</v>
      </c>
      <c r="O20" s="868"/>
      <c r="P20" s="854"/>
      <c r="Q20" s="854"/>
      <c r="R20" s="854"/>
      <c r="S20" s="854"/>
      <c r="T20" s="854"/>
      <c r="U20" s="854"/>
      <c r="V20" s="858"/>
      <c r="W20" s="858"/>
      <c r="X20" s="731"/>
      <c r="Y20" s="731"/>
      <c r="Z20" s="731"/>
      <c r="AA20" s="731"/>
      <c r="AB20" s="731"/>
      <c r="AC20" s="731"/>
      <c r="AD20" s="731"/>
      <c r="AE20" s="731"/>
      <c r="AF20" s="731"/>
      <c r="AG20" s="731"/>
      <c r="AH20" s="731"/>
    </row>
    <row r="21" spans="1:34" s="744" customFormat="1" ht="13.5" customHeight="1">
      <c r="A21" s="868"/>
      <c r="B21" s="868"/>
      <c r="C21" s="868"/>
      <c r="D21" s="880" t="s">
        <v>1854</v>
      </c>
      <c r="E21" s="880"/>
      <c r="F21" s="756"/>
      <c r="G21" s="756"/>
      <c r="H21" s="756"/>
      <c r="I21" s="947">
        <f>'Cash Flow'!P3</f>
        <v>49675</v>
      </c>
      <c r="J21" s="869"/>
      <c r="K21" s="880" t="s">
        <v>10</v>
      </c>
      <c r="L21" s="880"/>
      <c r="M21" s="835" t="str">
        <f>IF(SwitchMezz="Yes",Debt!E13,"")</f>
        <v/>
      </c>
      <c r="N21" s="835">
        <f>IF(SwitchMezz="Yes",Debt!G13,Debt!E13)</f>
        <v>5.7500000000000002E-2</v>
      </c>
      <c r="O21" s="868"/>
      <c r="P21" s="868"/>
      <c r="Q21" s="868"/>
      <c r="R21" s="868"/>
      <c r="S21" s="868"/>
      <c r="T21" s="871"/>
      <c r="U21" s="868"/>
      <c r="V21" s="881"/>
      <c r="W21" s="881"/>
      <c r="X21" s="745"/>
      <c r="Y21" s="745"/>
      <c r="Z21" s="745"/>
      <c r="AA21" s="745"/>
      <c r="AB21" s="745"/>
      <c r="AC21" s="745"/>
      <c r="AD21" s="745"/>
      <c r="AE21" s="745"/>
      <c r="AF21" s="745"/>
      <c r="AG21" s="745"/>
      <c r="AH21" s="745"/>
    </row>
    <row r="22" spans="1:34" s="744" customFormat="1" ht="13.5" customHeight="1">
      <c r="A22" s="868"/>
      <c r="B22" s="868"/>
      <c r="C22" s="868"/>
      <c r="D22" s="880" t="s">
        <v>1855</v>
      </c>
      <c r="E22" s="880"/>
      <c r="F22" s="756"/>
      <c r="G22" s="756"/>
      <c r="H22" s="756"/>
      <c r="I22" s="835">
        <f>Input!B31</f>
        <v>0</v>
      </c>
      <c r="J22" s="869"/>
      <c r="K22" s="880" t="s">
        <v>1839</v>
      </c>
      <c r="L22" s="880"/>
      <c r="M22" s="891" t="str">
        <f>IF(SwitchMezz="Yes",Debt!E17,"")</f>
        <v/>
      </c>
      <c r="N22" s="891">
        <f>IF(SwitchMezz="Yes",Debt!G17,Debt!E17)</f>
        <v>30</v>
      </c>
      <c r="O22" s="868"/>
      <c r="P22" s="868"/>
      <c r="Q22" s="868"/>
      <c r="R22" s="868"/>
      <c r="S22" s="868"/>
      <c r="T22" s="868"/>
      <c r="U22" s="868"/>
      <c r="V22" s="881"/>
      <c r="W22" s="881"/>
      <c r="X22" s="745"/>
      <c r="Y22" s="745"/>
      <c r="Z22" s="745"/>
      <c r="AA22" s="745"/>
      <c r="AB22" s="745"/>
      <c r="AC22" s="745"/>
      <c r="AD22" s="745"/>
      <c r="AE22" s="745"/>
      <c r="AF22" s="745"/>
      <c r="AG22" s="745"/>
      <c r="AH22" s="745"/>
    </row>
    <row r="23" spans="1:34" s="744" customFormat="1" ht="13.5" customHeight="1">
      <c r="A23" s="868"/>
      <c r="B23" s="868"/>
      <c r="C23" s="868"/>
      <c r="D23" s="882" t="s">
        <v>1818</v>
      </c>
      <c r="E23" s="882"/>
      <c r="F23" s="888"/>
      <c r="G23" s="888"/>
      <c r="H23" s="888"/>
      <c r="I23" s="932">
        <f>Input!B32</f>
        <v>0</v>
      </c>
      <c r="J23" s="869"/>
      <c r="K23" s="880" t="s">
        <v>1323</v>
      </c>
      <c r="L23" s="880"/>
      <c r="M23" s="892" t="str">
        <f>IF(SwitchMezz="Yes",Debt!E16,"")</f>
        <v/>
      </c>
      <c r="N23" s="892">
        <f>IF(SwitchMezz="Yes",Debt!G16,Debt!E16)</f>
        <v>0</v>
      </c>
      <c r="O23" s="868"/>
      <c r="P23" s="868"/>
      <c r="Q23" s="868"/>
      <c r="R23" s="868"/>
      <c r="S23" s="868"/>
      <c r="T23" s="868"/>
      <c r="U23" s="868"/>
      <c r="V23" s="881"/>
      <c r="W23" s="881"/>
      <c r="X23" s="745"/>
      <c r="Y23" s="745"/>
      <c r="Z23" s="745"/>
      <c r="AA23" s="745"/>
      <c r="AB23" s="745"/>
      <c r="AC23" s="745"/>
      <c r="AD23" s="745"/>
      <c r="AE23" s="745"/>
      <c r="AF23" s="745"/>
      <c r="AG23" s="745"/>
      <c r="AH23" s="745"/>
    </row>
    <row r="24" spans="1:34" s="744" customFormat="1" ht="13.5" customHeight="1">
      <c r="A24" s="868"/>
      <c r="B24" s="868"/>
      <c r="C24" s="868"/>
      <c r="D24" s="868"/>
      <c r="E24" s="868"/>
      <c r="F24" s="868"/>
      <c r="G24" s="868"/>
      <c r="H24" s="868"/>
      <c r="I24" s="868"/>
      <c r="J24" s="869"/>
      <c r="K24" s="880" t="s">
        <v>1840</v>
      </c>
      <c r="L24" s="880"/>
      <c r="M24" s="893" t="str">
        <f>IF(SwitchMezz="Yes",IFERROR(PMT(M21/12,M22*12,-1)*12,""),"")</f>
        <v/>
      </c>
      <c r="N24" s="893">
        <f>IFERROR(PMT(N21/12,N22*12,-1)*12,"")</f>
        <v>7.0028742773226349E-2</v>
      </c>
      <c r="O24" s="868"/>
      <c r="P24" s="868"/>
      <c r="Q24" s="868"/>
      <c r="R24" s="868"/>
      <c r="S24" s="868"/>
      <c r="T24" s="868"/>
      <c r="U24" s="868"/>
      <c r="V24" s="868"/>
      <c r="W24" s="868"/>
    </row>
    <row r="25" spans="1:34" s="744" customFormat="1" ht="13.5" customHeight="1">
      <c r="A25" s="868"/>
      <c r="B25" s="868"/>
      <c r="C25" s="868"/>
      <c r="D25" s="868"/>
      <c r="E25" s="868"/>
      <c r="F25" s="868"/>
      <c r="G25" s="868"/>
      <c r="H25" s="868"/>
      <c r="I25" s="868"/>
      <c r="J25" s="869"/>
      <c r="K25" s="880" t="s">
        <v>1021</v>
      </c>
      <c r="L25" s="880"/>
      <c r="M25" s="891" t="str">
        <f>IF(SwitchMezz="Yes",Debt!E14,"")</f>
        <v/>
      </c>
      <c r="N25" s="891">
        <f>IF(SwitchMezz="Yes",Debt!G14,Debt!E14)</f>
        <v>3</v>
      </c>
      <c r="O25" s="868"/>
      <c r="P25" s="868"/>
      <c r="Q25" s="868"/>
      <c r="R25" s="868"/>
      <c r="S25" s="868"/>
      <c r="T25" s="868"/>
      <c r="U25" s="868"/>
      <c r="V25" s="868"/>
      <c r="W25" s="868"/>
    </row>
    <row r="26" spans="1:34" s="744" customFormat="1" ht="13.5" customHeight="1">
      <c r="A26" s="868"/>
      <c r="B26" s="868"/>
      <c r="C26" s="868"/>
      <c r="D26" s="868"/>
      <c r="E26" s="868"/>
      <c r="F26" s="868"/>
      <c r="G26" s="868"/>
      <c r="H26" s="868"/>
      <c r="I26" s="868"/>
      <c r="J26" s="869"/>
      <c r="K26" s="880" t="s">
        <v>1023</v>
      </c>
      <c r="L26" s="880"/>
      <c r="M26" s="894" t="str">
        <f>IF(SwitchMezz="Yes",Debt!E11,"")</f>
        <v/>
      </c>
      <c r="N26" s="894">
        <f>IF(SwitchMezz="Yes",Debt!G11,Debt!E11)</f>
        <v>0.55000000000000004</v>
      </c>
      <c r="O26" s="868"/>
      <c r="P26" s="868"/>
      <c r="Q26" s="868"/>
      <c r="R26" s="868"/>
      <c r="S26" s="868"/>
      <c r="T26" s="868"/>
      <c r="U26" s="868"/>
      <c r="V26" s="868"/>
      <c r="W26" s="868"/>
    </row>
    <row r="27" spans="1:34" s="744" customFormat="1" ht="13.5" customHeight="1">
      <c r="A27" s="868"/>
      <c r="B27" s="868"/>
      <c r="C27" s="868"/>
      <c r="D27" s="868"/>
      <c r="E27" s="868"/>
      <c r="F27" s="868"/>
      <c r="G27" s="868"/>
      <c r="H27" s="868"/>
      <c r="I27" s="868"/>
      <c r="J27" s="869"/>
      <c r="K27" s="880" t="s">
        <v>7</v>
      </c>
      <c r="L27" s="880"/>
      <c r="M27" s="895" t="str">
        <f>IF(SwitchMezz="Yes",Debt!E12,"")</f>
        <v/>
      </c>
      <c r="N27" s="895">
        <f>IF(SwitchMezz="Yes",Debt!G12,Debt!E12)</f>
        <v>5142500</v>
      </c>
      <c r="O27" s="868"/>
      <c r="P27" s="868"/>
      <c r="Q27" s="868"/>
      <c r="R27" s="868"/>
      <c r="S27" s="868"/>
      <c r="T27" s="868"/>
      <c r="U27" s="868"/>
      <c r="V27" s="868"/>
      <c r="W27" s="868"/>
    </row>
    <row r="28" spans="1:34" s="744" customFormat="1" ht="13.5" customHeight="1">
      <c r="A28" s="868"/>
      <c r="B28" s="868"/>
      <c r="C28" s="868"/>
      <c r="D28" s="868"/>
      <c r="E28" s="868"/>
      <c r="F28" s="868"/>
      <c r="G28" s="868"/>
      <c r="H28" s="868"/>
      <c r="I28" s="868"/>
      <c r="J28" s="869"/>
      <c r="K28" s="882" t="s">
        <v>1149</v>
      </c>
      <c r="L28" s="882"/>
      <c r="M28" s="896" t="str">
        <f>IF(SwitchMezz="Yes",-'Cash Flow'!F41+'Cash Flow'!F36,"")</f>
        <v/>
      </c>
      <c r="N28" s="896">
        <f>IF(SwitchMezz="Yes",0,-'Cash Flow'!F41+'Cash Flow'!F36)</f>
        <v>4207500</v>
      </c>
      <c r="O28" s="854"/>
      <c r="P28" s="868"/>
      <c r="Q28" s="868"/>
      <c r="R28" s="868"/>
      <c r="S28" s="868"/>
      <c r="T28" s="868"/>
      <c r="U28" s="868"/>
      <c r="V28" s="868"/>
      <c r="W28" s="868"/>
    </row>
    <row r="29" spans="1:34" s="744" customFormat="1" ht="13.5" customHeight="1">
      <c r="A29" s="868"/>
      <c r="B29" s="868"/>
      <c r="C29" s="868"/>
      <c r="D29" s="883"/>
      <c r="E29" s="869"/>
      <c r="F29" s="869"/>
      <c r="G29" s="869"/>
      <c r="H29" s="869"/>
      <c r="I29" s="884"/>
      <c r="J29" s="869"/>
      <c r="K29" s="869"/>
      <c r="L29" s="869"/>
      <c r="M29" s="869"/>
      <c r="N29" s="869"/>
      <c r="O29" s="854"/>
      <c r="P29" s="868"/>
      <c r="Q29" s="869"/>
      <c r="R29" s="868"/>
      <c r="S29" s="868"/>
      <c r="T29" s="868"/>
      <c r="U29" s="868"/>
      <c r="V29" s="868"/>
      <c r="W29" s="868"/>
    </row>
    <row r="30" spans="1:34" s="744" customFormat="1" ht="13.5" customHeight="1">
      <c r="A30" s="868"/>
      <c r="B30" s="868"/>
      <c r="C30" s="868"/>
      <c r="D30" s="872"/>
      <c r="E30" s="869"/>
      <c r="F30" s="869"/>
      <c r="G30" s="869"/>
      <c r="H30" s="869"/>
      <c r="I30" s="873"/>
      <c r="J30" s="869"/>
      <c r="K30" s="869"/>
      <c r="L30" s="869"/>
      <c r="M30" s="869"/>
      <c r="N30" s="869"/>
      <c r="O30" s="854"/>
      <c r="P30" s="868"/>
      <c r="Q30" s="869"/>
      <c r="R30" s="868"/>
      <c r="S30" s="868"/>
      <c r="T30" s="868"/>
      <c r="U30" s="868"/>
      <c r="V30" s="868"/>
      <c r="W30" s="868"/>
    </row>
    <row r="31" spans="1:34" s="741" customFormat="1" ht="13.5" customHeight="1">
      <c r="A31" s="854"/>
      <c r="B31" s="854"/>
      <c r="C31" s="854"/>
      <c r="D31" s="860"/>
      <c r="E31" s="860"/>
      <c r="F31" s="860"/>
      <c r="G31" s="860"/>
      <c r="H31" s="860"/>
      <c r="I31" s="860"/>
      <c r="J31" s="860"/>
      <c r="K31" s="860"/>
      <c r="L31" s="860"/>
      <c r="M31" s="860"/>
      <c r="N31" s="860"/>
      <c r="O31" s="854"/>
      <c r="P31" s="854"/>
      <c r="Q31" s="860"/>
      <c r="R31" s="854"/>
      <c r="S31" s="854"/>
      <c r="T31" s="854"/>
      <c r="U31" s="854"/>
      <c r="V31" s="854"/>
      <c r="W31" s="854"/>
    </row>
    <row r="32" spans="1:34" s="741" customFormat="1" ht="13.5" customHeight="1">
      <c r="A32" s="854"/>
      <c r="B32" s="854"/>
      <c r="C32" s="854"/>
      <c r="D32" s="1626" t="s">
        <v>1841</v>
      </c>
      <c r="E32" s="1626"/>
      <c r="F32" s="1626"/>
      <c r="G32" s="1626"/>
      <c r="H32" s="1626"/>
      <c r="I32" s="1626"/>
      <c r="J32" s="1626"/>
      <c r="K32" s="1626"/>
      <c r="L32" s="1626"/>
      <c r="M32" s="1626"/>
      <c r="N32" s="1626"/>
      <c r="O32" s="868"/>
      <c r="P32" s="854"/>
      <c r="Q32" s="855"/>
      <c r="R32" s="855"/>
      <c r="S32" s="854"/>
      <c r="T32" s="854"/>
      <c r="U32" s="854"/>
      <c r="V32" s="854"/>
      <c r="W32" s="854"/>
    </row>
    <row r="33" spans="1:23" s="744" customFormat="1" ht="13.5" customHeight="1">
      <c r="A33" s="868"/>
      <c r="B33" s="868"/>
      <c r="C33" s="868"/>
      <c r="D33" s="880" t="s">
        <v>1842</v>
      </c>
      <c r="E33" s="880"/>
      <c r="F33" s="880"/>
      <c r="G33" s="880"/>
      <c r="H33" s="880"/>
      <c r="I33" s="757">
        <f>'Rent Roll Summary'!$C$36</f>
        <v>27</v>
      </c>
      <c r="J33" s="880"/>
      <c r="K33" s="756" t="str">
        <f>Input!A27</f>
        <v>Year Built/Renovated</v>
      </c>
      <c r="L33" s="880"/>
      <c r="M33" s="756"/>
      <c r="N33" s="885">
        <f>Input!B27</f>
        <v>1953</v>
      </c>
      <c r="O33" s="868"/>
      <c r="P33" s="868"/>
      <c r="Q33" s="869"/>
      <c r="R33" s="868"/>
      <c r="S33" s="868"/>
      <c r="T33" s="868"/>
      <c r="U33" s="868"/>
      <c r="V33" s="868"/>
      <c r="W33" s="868"/>
    </row>
    <row r="34" spans="1:23" s="744" customFormat="1" ht="13.5" customHeight="1">
      <c r="A34" s="868"/>
      <c r="B34" s="868"/>
      <c r="C34" s="868"/>
      <c r="D34" s="880" t="s">
        <v>1843</v>
      </c>
      <c r="E34" s="880"/>
      <c r="F34" s="880"/>
      <c r="G34" s="880"/>
      <c r="H34" s="880"/>
      <c r="I34" s="757">
        <f>'Rent Roll Summary'!T36</f>
        <v>22674</v>
      </c>
      <c r="J34" s="880"/>
      <c r="K34" s="756" t="s">
        <v>1844</v>
      </c>
      <c r="L34" s="880"/>
      <c r="M34" s="756"/>
      <c r="N34" s="886">
        <f>'Rent Roll Summary'!$U$36</f>
        <v>1904.7777777777778</v>
      </c>
      <c r="O34" s="868"/>
      <c r="P34" s="868"/>
      <c r="Q34" s="869"/>
      <c r="R34" s="868"/>
      <c r="S34" s="868"/>
      <c r="T34" s="868"/>
      <c r="U34" s="868"/>
      <c r="V34" s="868"/>
      <c r="W34" s="868"/>
    </row>
    <row r="35" spans="1:23" s="744" customFormat="1" ht="13.5" customHeight="1">
      <c r="A35" s="868"/>
      <c r="B35" s="868"/>
      <c r="C35" s="868"/>
      <c r="D35" s="882" t="s">
        <v>1845</v>
      </c>
      <c r="E35" s="882"/>
      <c r="F35" s="882"/>
      <c r="G35" s="882"/>
      <c r="H35" s="882"/>
      <c r="I35" s="887">
        <f>'Rent Roll Summary'!$D$36</f>
        <v>839.77777777777783</v>
      </c>
      <c r="J35" s="882"/>
      <c r="K35" s="888" t="s">
        <v>1846</v>
      </c>
      <c r="L35" s="882"/>
      <c r="M35" s="888"/>
      <c r="N35" s="889" t="s">
        <v>1847</v>
      </c>
      <c r="O35" s="868"/>
      <c r="P35" s="868"/>
      <c r="Q35" s="869"/>
      <c r="R35" s="868"/>
      <c r="S35" s="868"/>
      <c r="T35" s="868"/>
      <c r="U35" s="868"/>
      <c r="V35" s="868"/>
      <c r="W35" s="868"/>
    </row>
    <row r="36" spans="1:23" s="744" customFormat="1" ht="13.5" customHeight="1">
      <c r="A36" s="868"/>
      <c r="B36" s="868"/>
      <c r="C36" s="868"/>
      <c r="D36" s="869"/>
      <c r="E36" s="869"/>
      <c r="F36" s="874"/>
      <c r="G36" s="874"/>
      <c r="H36" s="874"/>
      <c r="I36" s="874"/>
      <c r="J36" s="874"/>
      <c r="K36" s="875"/>
      <c r="L36" s="869"/>
      <c r="M36" s="876"/>
      <c r="N36" s="876"/>
      <c r="O36" s="869"/>
      <c r="P36" s="868"/>
      <c r="Q36" s="877"/>
      <c r="R36" s="868"/>
      <c r="S36" s="868"/>
      <c r="T36" s="868"/>
      <c r="U36" s="868"/>
      <c r="V36" s="868"/>
      <c r="W36" s="868"/>
    </row>
    <row r="37" spans="1:23" s="744" customFormat="1" ht="13.5" customHeight="1">
      <c r="A37" s="868"/>
      <c r="B37" s="868"/>
      <c r="C37" s="868"/>
      <c r="D37" s="869"/>
      <c r="E37" s="869"/>
      <c r="F37" s="869"/>
      <c r="G37" s="869"/>
      <c r="H37" s="869"/>
      <c r="I37" s="869"/>
      <c r="J37" s="869"/>
      <c r="K37" s="869"/>
      <c r="L37" s="869"/>
      <c r="M37" s="869"/>
      <c r="N37" s="869"/>
      <c r="O37" s="868"/>
      <c r="P37" s="869"/>
      <c r="Q37" s="869"/>
      <c r="R37" s="868"/>
      <c r="S37" s="868"/>
      <c r="T37" s="868"/>
      <c r="U37" s="868"/>
      <c r="V37" s="868"/>
      <c r="W37" s="868"/>
    </row>
    <row r="38" spans="1:23" s="744" customFormat="1" ht="13.5" customHeight="1">
      <c r="A38" s="868"/>
      <c r="B38" s="868"/>
      <c r="C38" s="868"/>
      <c r="D38" s="868"/>
      <c r="E38" s="868"/>
      <c r="F38" s="868"/>
      <c r="G38" s="868"/>
      <c r="H38" s="868"/>
      <c r="I38" s="868"/>
      <c r="J38" s="868"/>
      <c r="K38" s="868"/>
      <c r="L38" s="868"/>
      <c r="M38" s="868"/>
      <c r="N38" s="868"/>
      <c r="O38" s="869"/>
      <c r="P38" s="868"/>
      <c r="Q38" s="868"/>
      <c r="R38" s="868"/>
      <c r="S38" s="868"/>
      <c r="T38" s="868"/>
      <c r="U38" s="868"/>
      <c r="V38" s="868"/>
      <c r="W38" s="868"/>
    </row>
    <row r="39" spans="1:23" s="65" customFormat="1"/>
    <row r="40" spans="1:23" s="65" customFormat="1"/>
    <row r="41" spans="1:23" s="65" customFormat="1"/>
    <row r="42" spans="1:23" s="65" customFormat="1"/>
    <row r="43" spans="1:23" s="65" customFormat="1"/>
    <row r="44" spans="1:23" s="65" customFormat="1"/>
    <row r="45" spans="1:23" s="65" customFormat="1">
      <c r="O45" s="34"/>
    </row>
    <row r="46" spans="1:23" s="34" customFormat="1"/>
    <row r="47" spans="1:23" s="34" customFormat="1"/>
    <row r="48" spans="1:23" s="34" customFormat="1"/>
    <row r="49" spans="10:15" s="34" customFormat="1"/>
    <row r="50" spans="10:15" s="34" customFormat="1"/>
    <row r="51" spans="10:15" s="34" customFormat="1"/>
    <row r="52" spans="10:15" s="34" customFormat="1"/>
    <row r="53" spans="10:15" s="34" customFormat="1"/>
    <row r="54" spans="10:15" s="34" customFormat="1"/>
    <row r="55" spans="10:15" s="34" customFormat="1">
      <c r="J55" s="35"/>
    </row>
    <row r="56" spans="10:15" s="34" customFormat="1">
      <c r="J56" s="35"/>
    </row>
    <row r="57" spans="10:15" s="34" customFormat="1">
      <c r="J57" s="35"/>
    </row>
    <row r="58" spans="10:15" s="34" customFormat="1">
      <c r="J58" s="35"/>
    </row>
    <row r="59" spans="10:15" s="34" customFormat="1">
      <c r="J59" s="35"/>
      <c r="O59" s="31"/>
    </row>
    <row r="60" spans="10:15">
      <c r="J60" s="35"/>
    </row>
    <row r="61" spans="10:15">
      <c r="J61" s="35"/>
    </row>
    <row r="62" spans="10:15">
      <c r="J62" s="35"/>
    </row>
    <row r="63" spans="10:15">
      <c r="J63" s="35"/>
    </row>
    <row r="64" spans="10:15">
      <c r="J64" s="35"/>
    </row>
    <row r="65" spans="10:10">
      <c r="J65" s="35"/>
    </row>
    <row r="66" spans="10:10">
      <c r="J66" s="35"/>
    </row>
    <row r="67" spans="10:10">
      <c r="J67" s="35"/>
    </row>
    <row r="68" spans="10:10">
      <c r="J68" s="35"/>
    </row>
    <row r="69" spans="10:10">
      <c r="J69" s="35"/>
    </row>
    <row r="70" spans="10:10">
      <c r="J70" s="35"/>
    </row>
    <row r="71" spans="10:10">
      <c r="J71" s="35"/>
    </row>
    <row r="72" spans="10:10">
      <c r="J72" s="35"/>
    </row>
    <row r="73" spans="10:10">
      <c r="J73" s="35"/>
    </row>
    <row r="74" spans="10:10">
      <c r="J74" s="35"/>
    </row>
    <row r="75" spans="10:10">
      <c r="J75" s="35"/>
    </row>
    <row r="76" spans="10:10">
      <c r="J76" s="35"/>
    </row>
    <row r="77" spans="10:10">
      <c r="J77" s="35"/>
    </row>
    <row r="78" spans="10:10">
      <c r="J78" s="35"/>
    </row>
    <row r="79" spans="10:10">
      <c r="J79" s="35"/>
    </row>
    <row r="80" spans="10:10">
      <c r="J80" s="35"/>
    </row>
    <row r="81" spans="10:10">
      <c r="J81" s="35"/>
    </row>
    <row r="82" spans="10:10">
      <c r="J82" s="35"/>
    </row>
    <row r="83" spans="10:10">
      <c r="J83" s="35"/>
    </row>
    <row r="84" spans="10:10">
      <c r="J84" s="35"/>
    </row>
    <row r="85" spans="10:10">
      <c r="J85" s="35"/>
    </row>
    <row r="86" spans="10:10">
      <c r="J86" s="35"/>
    </row>
    <row r="87" spans="10:10">
      <c r="J87" s="35"/>
    </row>
    <row r="88" spans="10:10">
      <c r="J88" s="35"/>
    </row>
    <row r="89" spans="10:10">
      <c r="J89" s="35"/>
    </row>
    <row r="90" spans="10:10">
      <c r="J90" s="35"/>
    </row>
    <row r="91" spans="10:10">
      <c r="J91" s="35"/>
    </row>
    <row r="92" spans="10:10">
      <c r="J92" s="35"/>
    </row>
    <row r="93" spans="10:10">
      <c r="J93" s="35"/>
    </row>
    <row r="94" spans="10:10">
      <c r="J94" s="35"/>
    </row>
    <row r="95" spans="10:10">
      <c r="J95" s="35"/>
    </row>
    <row r="96" spans="10:10">
      <c r="J96" s="35"/>
    </row>
    <row r="97" spans="5:34">
      <c r="J97" s="35"/>
    </row>
    <row r="98" spans="5:34">
      <c r="J98" s="35"/>
    </row>
    <row r="99" spans="5:34">
      <c r="J99" s="35"/>
      <c r="V99" s="88"/>
    </row>
    <row r="100" spans="5:34">
      <c r="F100" s="36"/>
      <c r="G100" s="36"/>
      <c r="H100" s="36"/>
      <c r="J100" s="35"/>
      <c r="V100" s="32"/>
    </row>
    <row r="101" spans="5:34">
      <c r="F101" s="36"/>
      <c r="G101" s="36"/>
      <c r="H101" s="36"/>
      <c r="J101" s="35"/>
      <c r="V101" s="32"/>
      <c r="W101" s="37"/>
      <c r="X101" s="88"/>
    </row>
    <row r="102" spans="5:34">
      <c r="J102" s="35"/>
      <c r="O102" s="38"/>
      <c r="V102" s="32"/>
      <c r="W102" s="37"/>
      <c r="X102" s="88"/>
    </row>
    <row r="103" spans="5:34">
      <c r="E103" s="38"/>
      <c r="F103" s="38"/>
      <c r="G103" s="38"/>
      <c r="H103" s="38"/>
      <c r="I103" s="38"/>
      <c r="J103" s="35"/>
      <c r="K103" s="38"/>
      <c r="L103" s="38"/>
      <c r="M103" s="38"/>
      <c r="N103" s="38"/>
      <c r="P103" s="38"/>
      <c r="Q103" s="38"/>
      <c r="R103" s="38"/>
      <c r="V103" s="32"/>
      <c r="W103" s="37"/>
      <c r="X103" s="88"/>
    </row>
    <row r="104" spans="5:34">
      <c r="J104" s="35"/>
      <c r="V104" s="32"/>
      <c r="W104" s="37"/>
      <c r="X104" s="88"/>
    </row>
    <row r="105" spans="5:34">
      <c r="J105" s="35"/>
      <c r="V105" s="32"/>
      <c r="W105" s="37"/>
      <c r="X105" s="88"/>
    </row>
    <row r="106" spans="5:34">
      <c r="J106" s="35"/>
      <c r="V106" s="32"/>
      <c r="W106" s="37"/>
      <c r="X106" s="88"/>
    </row>
    <row r="107" spans="5:34">
      <c r="J107" s="35"/>
      <c r="V107" s="32"/>
      <c r="W107" s="37"/>
      <c r="X107" s="88"/>
    </row>
    <row r="108" spans="5:34">
      <c r="J108" s="35"/>
      <c r="V108" s="32"/>
      <c r="W108" s="37"/>
      <c r="X108" s="88"/>
      <c r="AH108" s="89"/>
    </row>
    <row r="109" spans="5:34">
      <c r="J109" s="35"/>
      <c r="V109" s="32"/>
      <c r="W109" s="37"/>
      <c r="X109" s="88"/>
    </row>
    <row r="110" spans="5:34">
      <c r="J110" s="35"/>
      <c r="V110" s="32"/>
      <c r="W110" s="37"/>
      <c r="X110" s="88"/>
    </row>
    <row r="111" spans="5:34">
      <c r="J111" s="35"/>
    </row>
    <row r="112" spans="5:34">
      <c r="J112" s="35"/>
    </row>
    <row r="113" spans="10:10">
      <c r="J113" s="35"/>
    </row>
    <row r="114" spans="10:10">
      <c r="J114" s="35"/>
    </row>
    <row r="115" spans="10:10">
      <c r="J115" s="35"/>
    </row>
    <row r="116" spans="10:10">
      <c r="J116" s="35"/>
    </row>
    <row r="117" spans="10:10">
      <c r="J117" s="35"/>
    </row>
    <row r="118" spans="10:10">
      <c r="J118" s="35"/>
    </row>
    <row r="139" spans="23:33">
      <c r="W139" s="90"/>
      <c r="X139" s="91"/>
      <c r="Y139" s="91"/>
      <c r="Z139" s="91"/>
      <c r="AA139" s="91"/>
      <c r="AB139" s="91"/>
      <c r="AC139" s="91"/>
      <c r="AD139" s="91"/>
      <c r="AE139" s="91"/>
      <c r="AF139" s="91"/>
      <c r="AG139" s="91"/>
    </row>
    <row r="141" spans="23:33">
      <c r="W141" s="39"/>
      <c r="X141" s="39"/>
      <c r="Y141" s="39"/>
      <c r="Z141" s="39"/>
      <c r="AA141" s="39"/>
      <c r="AB141" s="39"/>
      <c r="AC141" s="39"/>
      <c r="AD141" s="39"/>
      <c r="AE141" s="39"/>
      <c r="AF141" s="39"/>
      <c r="AG141" s="39"/>
    </row>
    <row r="142" spans="23:33">
      <c r="W142" s="39"/>
      <c r="X142" s="39"/>
      <c r="Y142" s="39"/>
      <c r="Z142" s="39"/>
      <c r="AA142" s="39"/>
      <c r="AB142" s="39"/>
      <c r="AC142" s="39"/>
      <c r="AD142" s="39"/>
      <c r="AE142" s="39"/>
      <c r="AF142" s="39"/>
      <c r="AG142" s="39"/>
    </row>
    <row r="143" spans="23:33">
      <c r="W143" s="39"/>
      <c r="X143" s="39"/>
      <c r="Y143" s="39"/>
      <c r="Z143" s="39"/>
      <c r="AA143" s="39"/>
      <c r="AB143" s="39"/>
      <c r="AC143" s="39"/>
      <c r="AD143" s="39"/>
      <c r="AE143" s="39"/>
      <c r="AF143" s="39"/>
      <c r="AG143" s="39"/>
    </row>
    <row r="144" spans="23:33">
      <c r="W144" s="39"/>
      <c r="X144" s="39"/>
      <c r="Y144" s="39"/>
      <c r="Z144" s="39"/>
      <c r="AA144" s="39"/>
      <c r="AB144" s="39"/>
      <c r="AC144" s="39"/>
      <c r="AD144" s="39"/>
      <c r="AE144" s="39"/>
      <c r="AF144" s="39"/>
      <c r="AG144" s="39"/>
    </row>
    <row r="145" spans="23:33">
      <c r="W145" s="39"/>
      <c r="X145" s="39"/>
      <c r="Y145" s="39"/>
      <c r="Z145" s="39"/>
      <c r="AA145" s="39"/>
      <c r="AB145" s="39"/>
      <c r="AC145" s="39"/>
      <c r="AD145" s="39"/>
      <c r="AE145" s="39"/>
      <c r="AF145" s="39"/>
      <c r="AG145" s="39"/>
    </row>
    <row r="146" spans="23:33">
      <c r="W146" s="39"/>
      <c r="X146" s="39"/>
      <c r="Y146" s="39"/>
      <c r="Z146" s="39"/>
      <c r="AA146" s="39"/>
      <c r="AB146" s="39"/>
      <c r="AC146" s="39"/>
      <c r="AD146" s="39"/>
      <c r="AE146" s="39"/>
      <c r="AF146" s="39"/>
      <c r="AG146" s="39"/>
    </row>
    <row r="147" spans="23:33">
      <c r="W147" s="39"/>
      <c r="X147" s="39"/>
      <c r="Y147" s="39"/>
      <c r="Z147" s="39"/>
      <c r="AA147" s="39"/>
      <c r="AB147" s="39"/>
      <c r="AC147" s="39"/>
      <c r="AD147" s="39"/>
      <c r="AE147" s="39"/>
      <c r="AF147" s="39"/>
      <c r="AG147" s="39"/>
    </row>
    <row r="148" spans="23:33">
      <c r="W148" s="39"/>
      <c r="X148" s="39"/>
      <c r="Y148" s="39"/>
      <c r="Z148" s="39"/>
      <c r="AA148" s="39"/>
      <c r="AB148" s="39"/>
      <c r="AC148" s="39"/>
      <c r="AD148" s="39"/>
      <c r="AE148" s="39"/>
      <c r="AF148" s="39"/>
      <c r="AG148" s="39"/>
    </row>
    <row r="149" spans="23:33">
      <c r="W149" s="39"/>
      <c r="X149" s="39"/>
      <c r="Y149" s="39"/>
      <c r="Z149" s="39"/>
      <c r="AA149" s="39"/>
      <c r="AB149" s="39"/>
      <c r="AC149" s="39"/>
      <c r="AD149" s="39"/>
      <c r="AE149" s="39"/>
      <c r="AF149" s="39"/>
      <c r="AG149" s="39"/>
    </row>
    <row r="150" spans="23:33">
      <c r="W150" s="39"/>
      <c r="X150" s="39"/>
      <c r="Y150" s="39"/>
      <c r="Z150" s="39"/>
      <c r="AA150" s="39"/>
      <c r="AB150" s="39"/>
      <c r="AC150" s="39"/>
      <c r="AD150" s="39"/>
      <c r="AE150" s="39"/>
      <c r="AF150" s="39"/>
      <c r="AG150" s="39"/>
    </row>
    <row r="151" spans="23:33">
      <c r="W151" s="39"/>
      <c r="X151" s="39"/>
      <c r="Y151" s="39"/>
      <c r="Z151" s="39"/>
      <c r="AA151" s="39"/>
      <c r="AB151" s="39"/>
      <c r="AC151" s="39"/>
      <c r="AD151" s="39"/>
      <c r="AE151" s="39"/>
      <c r="AF151" s="39"/>
      <c r="AG151" s="39"/>
    </row>
    <row r="154" spans="23:33">
      <c r="W154" s="39"/>
      <c r="X154" s="39"/>
      <c r="Y154" s="39"/>
      <c r="Z154" s="39"/>
      <c r="AA154" s="39"/>
      <c r="AB154" s="39"/>
      <c r="AC154" s="39"/>
      <c r="AD154" s="39"/>
      <c r="AE154" s="39"/>
      <c r="AF154" s="39"/>
      <c r="AG154" s="39"/>
    </row>
    <row r="155" spans="23:33">
      <c r="W155" s="39"/>
      <c r="X155" s="39"/>
      <c r="Y155" s="39"/>
      <c r="Z155" s="39"/>
      <c r="AA155" s="39"/>
      <c r="AB155" s="39"/>
      <c r="AC155" s="39"/>
      <c r="AD155" s="39"/>
      <c r="AE155" s="39"/>
      <c r="AF155" s="39"/>
      <c r="AG155" s="39"/>
    </row>
    <row r="156" spans="23:33">
      <c r="W156" s="39"/>
      <c r="X156" s="39"/>
      <c r="Y156" s="39"/>
      <c r="Z156" s="39"/>
      <c r="AA156" s="39"/>
      <c r="AB156" s="39"/>
      <c r="AC156" s="39"/>
      <c r="AD156" s="39"/>
      <c r="AE156" s="39"/>
      <c r="AF156" s="39"/>
      <c r="AG156" s="39"/>
    </row>
    <row r="157" spans="23:33">
      <c r="W157" s="39"/>
      <c r="X157" s="39"/>
      <c r="Y157" s="39"/>
      <c r="Z157" s="39"/>
      <c r="AA157" s="39"/>
      <c r="AB157" s="39"/>
      <c r="AC157" s="39"/>
      <c r="AD157" s="39"/>
      <c r="AE157" s="39"/>
      <c r="AF157" s="39"/>
      <c r="AG157" s="39"/>
    </row>
    <row r="158" spans="23:33">
      <c r="W158" s="39"/>
      <c r="X158" s="39"/>
      <c r="Y158" s="39"/>
      <c r="Z158" s="39"/>
      <c r="AA158" s="39"/>
      <c r="AB158" s="39"/>
      <c r="AC158" s="39"/>
      <c r="AD158" s="39"/>
      <c r="AE158" s="39"/>
      <c r="AF158" s="39"/>
      <c r="AG158" s="39"/>
    </row>
    <row r="159" spans="23:33">
      <c r="W159" s="39"/>
      <c r="X159" s="39"/>
      <c r="Y159" s="39"/>
      <c r="Z159" s="39"/>
      <c r="AA159" s="39"/>
      <c r="AB159" s="39"/>
      <c r="AC159" s="39"/>
      <c r="AD159" s="39"/>
      <c r="AE159" s="39"/>
      <c r="AF159" s="39"/>
      <c r="AG159" s="39"/>
    </row>
    <row r="160" spans="23:33">
      <c r="W160" s="39"/>
      <c r="X160" s="39"/>
      <c r="Y160" s="39"/>
      <c r="Z160" s="39"/>
      <c r="AA160" s="39"/>
      <c r="AB160" s="39"/>
      <c r="AC160" s="39"/>
      <c r="AD160" s="39"/>
      <c r="AE160" s="39"/>
      <c r="AF160" s="39"/>
      <c r="AG160" s="39"/>
    </row>
    <row r="161" spans="9:41">
      <c r="W161" s="39"/>
      <c r="X161" s="39"/>
      <c r="Y161" s="39"/>
      <c r="Z161" s="39"/>
      <c r="AA161" s="39"/>
      <c r="AB161" s="39"/>
      <c r="AC161" s="39"/>
      <c r="AD161" s="39"/>
      <c r="AE161" s="39"/>
      <c r="AF161" s="39"/>
      <c r="AG161" s="39"/>
    </row>
    <row r="162" spans="9:41">
      <c r="W162" s="39"/>
      <c r="X162" s="39"/>
      <c r="Y162" s="39"/>
      <c r="Z162" s="39"/>
      <c r="AA162" s="39"/>
      <c r="AB162" s="39"/>
      <c r="AC162" s="39"/>
      <c r="AD162" s="39"/>
      <c r="AE162" s="39"/>
      <c r="AF162" s="39"/>
      <c r="AG162" s="39"/>
    </row>
    <row r="163" spans="9:41">
      <c r="W163" s="39"/>
      <c r="X163" s="39"/>
      <c r="Y163" s="39"/>
      <c r="Z163" s="39"/>
      <c r="AA163" s="39"/>
      <c r="AB163" s="39"/>
      <c r="AC163" s="39"/>
      <c r="AD163" s="39"/>
      <c r="AE163" s="39"/>
      <c r="AF163" s="39"/>
      <c r="AG163" s="39"/>
    </row>
    <row r="164" spans="9:41">
      <c r="W164" s="39"/>
      <c r="X164" s="39"/>
      <c r="Y164" s="39"/>
      <c r="Z164" s="39"/>
      <c r="AA164" s="39"/>
      <c r="AB164" s="39"/>
      <c r="AC164" s="39"/>
      <c r="AD164" s="39"/>
      <c r="AE164" s="39"/>
      <c r="AF164" s="39"/>
      <c r="AG164" s="39"/>
    </row>
    <row r="168" spans="9:41">
      <c r="X168" s="35"/>
    </row>
    <row r="169" spans="9:41">
      <c r="X169" s="35"/>
    </row>
    <row r="170" spans="9:41">
      <c r="I170" s="40"/>
      <c r="L170" s="41"/>
      <c r="X170" s="92"/>
    </row>
    <row r="171" spans="9:41">
      <c r="I171" s="42"/>
      <c r="L171" s="41"/>
      <c r="X171" s="92"/>
    </row>
    <row r="172" spans="9:41">
      <c r="I172" s="40"/>
    </row>
    <row r="173" spans="9:41">
      <c r="I173" s="40"/>
      <c r="AF173" s="36"/>
      <c r="AG173" s="36"/>
      <c r="AH173" s="36"/>
      <c r="AI173" s="36"/>
      <c r="AJ173" s="36"/>
      <c r="AK173" s="36"/>
      <c r="AL173" s="36"/>
      <c r="AM173" s="36"/>
      <c r="AN173" s="36"/>
      <c r="AO173" s="36"/>
    </row>
    <row r="174" spans="9:41">
      <c r="I174" s="40"/>
      <c r="W174" s="36"/>
      <c r="X174" s="36"/>
      <c r="Y174" s="36"/>
      <c r="Z174" s="36"/>
      <c r="AA174" s="36"/>
      <c r="AB174" s="36"/>
      <c r="AE174" s="89"/>
      <c r="AF174" s="93"/>
      <c r="AG174" s="93"/>
      <c r="AH174" s="93"/>
      <c r="AI174" s="93"/>
      <c r="AJ174" s="93"/>
      <c r="AK174" s="93"/>
      <c r="AL174" s="93"/>
      <c r="AM174" s="93"/>
      <c r="AN174" s="93"/>
      <c r="AO174" s="93"/>
    </row>
    <row r="175" spans="9:41">
      <c r="I175" s="40"/>
    </row>
    <row r="176" spans="9:41">
      <c r="X176" s="94"/>
      <c r="Y176" s="94"/>
      <c r="Z176" s="95"/>
      <c r="AB176" s="94"/>
      <c r="AE176" s="94"/>
    </row>
    <row r="177" spans="23:41">
      <c r="X177" s="94"/>
      <c r="Y177" s="94"/>
      <c r="Z177" s="95"/>
      <c r="AB177" s="94"/>
      <c r="AE177" s="94"/>
    </row>
    <row r="178" spans="23:41">
      <c r="X178" s="94"/>
      <c r="Y178" s="94"/>
      <c r="Z178" s="95"/>
      <c r="AB178" s="94"/>
      <c r="AF178" s="94"/>
      <c r="AG178" s="94"/>
      <c r="AH178" s="94"/>
      <c r="AI178" s="94"/>
      <c r="AJ178" s="94"/>
      <c r="AK178" s="94"/>
      <c r="AL178" s="94"/>
      <c r="AM178" s="94"/>
      <c r="AN178" s="94"/>
      <c r="AO178" s="94"/>
    </row>
    <row r="179" spans="23:41">
      <c r="X179" s="94"/>
      <c r="Y179" s="94"/>
      <c r="Z179" s="95"/>
      <c r="AB179" s="94"/>
      <c r="AF179" s="94"/>
      <c r="AG179" s="94"/>
      <c r="AH179" s="94"/>
      <c r="AI179" s="94"/>
      <c r="AJ179" s="94"/>
      <c r="AK179" s="94"/>
      <c r="AL179" s="94"/>
      <c r="AM179" s="94"/>
      <c r="AN179" s="94"/>
      <c r="AO179" s="94"/>
    </row>
    <row r="180" spans="23:41">
      <c r="X180" s="94"/>
      <c r="Y180" s="94"/>
      <c r="Z180" s="95"/>
      <c r="AB180" s="94"/>
      <c r="AF180" s="94"/>
      <c r="AG180" s="94"/>
      <c r="AH180" s="94"/>
      <c r="AI180" s="94"/>
      <c r="AJ180" s="94"/>
      <c r="AK180" s="94"/>
      <c r="AL180" s="94"/>
      <c r="AM180" s="94"/>
      <c r="AN180" s="94"/>
      <c r="AO180" s="94"/>
    </row>
    <row r="181" spans="23:41">
      <c r="X181" s="94"/>
      <c r="Y181" s="94"/>
      <c r="Z181" s="95"/>
      <c r="AB181" s="94"/>
    </row>
    <row r="182" spans="23:41">
      <c r="X182" s="94"/>
      <c r="Y182" s="94"/>
      <c r="Z182" s="95"/>
      <c r="AB182" s="94"/>
      <c r="AE182" s="94"/>
      <c r="AF182" s="94"/>
      <c r="AG182" s="94"/>
      <c r="AH182" s="94"/>
      <c r="AI182" s="94"/>
      <c r="AJ182" s="94"/>
      <c r="AK182" s="94"/>
      <c r="AL182" s="94"/>
      <c r="AM182" s="94"/>
      <c r="AN182" s="94"/>
      <c r="AO182" s="94"/>
    </row>
    <row r="183" spans="23:41">
      <c r="X183" s="94"/>
      <c r="Y183" s="94"/>
      <c r="Z183" s="95"/>
      <c r="AB183" s="94"/>
    </row>
    <row r="184" spans="23:41">
      <c r="X184" s="94"/>
      <c r="Y184" s="94"/>
      <c r="Z184" s="95"/>
      <c r="AB184" s="94"/>
    </row>
    <row r="185" spans="23:41">
      <c r="X185" s="94"/>
      <c r="Y185" s="94"/>
      <c r="Z185" s="95"/>
      <c r="AB185" s="94"/>
    </row>
    <row r="186" spans="23:41">
      <c r="W186" s="91"/>
    </row>
    <row r="188" spans="23:41">
      <c r="W188" s="36"/>
      <c r="X188" s="36"/>
      <c r="Y188" s="36"/>
      <c r="Z188" s="36"/>
      <c r="AA188" s="36"/>
      <c r="AB188" s="36"/>
    </row>
    <row r="190" spans="23:41">
      <c r="X190" s="96"/>
      <c r="Y190" s="96"/>
      <c r="Z190" s="95"/>
      <c r="AB190" s="94"/>
    </row>
    <row r="191" spans="23:41">
      <c r="X191" s="96"/>
      <c r="Y191" s="96"/>
      <c r="Z191" s="95"/>
      <c r="AB191" s="94"/>
    </row>
    <row r="192" spans="23:41">
      <c r="X192" s="96"/>
      <c r="Y192" s="96"/>
      <c r="Z192" s="95"/>
      <c r="AB192" s="94"/>
    </row>
    <row r="193" spans="24:28">
      <c r="X193" s="96"/>
      <c r="Y193" s="96"/>
      <c r="Z193" s="95"/>
      <c r="AB193" s="94"/>
    </row>
    <row r="194" spans="24:28">
      <c r="X194" s="96"/>
      <c r="Y194" s="96"/>
      <c r="Z194" s="95"/>
      <c r="AB194" s="94"/>
    </row>
    <row r="195" spans="24:28">
      <c r="X195" s="96"/>
      <c r="Y195" s="96"/>
      <c r="Z195" s="95"/>
      <c r="AB195" s="94"/>
    </row>
    <row r="196" spans="24:28">
      <c r="X196" s="96"/>
      <c r="Y196" s="96"/>
      <c r="Z196" s="95"/>
      <c r="AB196" s="94"/>
    </row>
    <row r="197" spans="24:28">
      <c r="X197" s="96"/>
      <c r="Y197" s="96"/>
      <c r="Z197" s="95"/>
      <c r="AB197" s="94"/>
    </row>
    <row r="198" spans="24:28">
      <c r="X198" s="96"/>
      <c r="Y198" s="96"/>
      <c r="Z198" s="95"/>
      <c r="AB198" s="94"/>
    </row>
    <row r="199" spans="24:28">
      <c r="X199" s="96"/>
      <c r="Y199" s="96"/>
      <c r="Z199" s="95"/>
      <c r="AB199" s="94"/>
    </row>
    <row r="200" spans="24:28">
      <c r="X200" s="96"/>
      <c r="Y200" s="96"/>
      <c r="Z200" s="95"/>
      <c r="AB200" s="94"/>
    </row>
    <row r="201" spans="24:28">
      <c r="X201" s="96"/>
      <c r="Y201" s="96"/>
      <c r="Z201" s="95"/>
      <c r="AB201" s="94"/>
    </row>
    <row r="202" spans="24:28">
      <c r="X202" s="96"/>
      <c r="Y202" s="96"/>
      <c r="Z202" s="95"/>
      <c r="AB202" s="94"/>
    </row>
    <row r="203" spans="24:28" hidden="1">
      <c r="X203" s="96"/>
      <c r="Y203" s="96"/>
      <c r="Z203" s="95"/>
      <c r="AB203" s="94"/>
    </row>
    <row r="204" spans="24:28" hidden="1">
      <c r="X204" s="96"/>
      <c r="Y204" s="96"/>
      <c r="Z204" s="95"/>
      <c r="AB204" s="94"/>
    </row>
    <row r="205" spans="24:28" hidden="1">
      <c r="X205" s="96"/>
      <c r="Y205" s="96"/>
      <c r="Z205" s="95"/>
      <c r="AB205" s="94"/>
    </row>
    <row r="206" spans="24:28" hidden="1">
      <c r="X206" s="96"/>
      <c r="Y206" s="96"/>
      <c r="Z206" s="95"/>
      <c r="AB206" s="94"/>
    </row>
    <row r="207" spans="24:28" hidden="1">
      <c r="X207" s="96"/>
      <c r="Y207" s="96"/>
      <c r="Z207" s="95"/>
      <c r="AB207" s="94"/>
    </row>
    <row r="208" spans="24:28" hidden="1">
      <c r="X208" s="96"/>
      <c r="Y208" s="96"/>
      <c r="Z208" s="95"/>
      <c r="AB208" s="94"/>
    </row>
    <row r="209" spans="24:28" hidden="1">
      <c r="X209" s="96"/>
      <c r="Y209" s="96"/>
      <c r="Z209" s="95"/>
      <c r="AB209" s="94"/>
    </row>
    <row r="210" spans="24:28" hidden="1">
      <c r="X210" s="96"/>
      <c r="Y210" s="96"/>
      <c r="Z210" s="95"/>
      <c r="AB210" s="94"/>
    </row>
    <row r="211" spans="24:28" hidden="1">
      <c r="X211" s="96"/>
      <c r="Y211" s="96"/>
      <c r="Z211" s="95"/>
      <c r="AB211" s="94"/>
    </row>
    <row r="212" spans="24:28" hidden="1">
      <c r="X212" s="96"/>
      <c r="Y212" s="96"/>
      <c r="Z212" s="95"/>
      <c r="AB212" s="94"/>
    </row>
    <row r="213" spans="24:28" hidden="1">
      <c r="X213" s="96"/>
      <c r="Y213" s="96"/>
      <c r="Z213" s="95"/>
      <c r="AB213" s="94"/>
    </row>
    <row r="214" spans="24:28" hidden="1">
      <c r="X214" s="96"/>
      <c r="Y214" s="96"/>
      <c r="Z214" s="95"/>
      <c r="AB214" s="94"/>
    </row>
    <row r="215" spans="24:28" hidden="1">
      <c r="X215" s="96"/>
      <c r="Y215" s="96"/>
      <c r="Z215" s="95"/>
      <c r="AB215" s="94"/>
    </row>
    <row r="216" spans="24:28" hidden="1">
      <c r="X216" s="96"/>
      <c r="Y216" s="96"/>
      <c r="Z216" s="95"/>
      <c r="AB216" s="94"/>
    </row>
    <row r="217" spans="24:28" hidden="1">
      <c r="X217" s="96"/>
      <c r="Y217" s="96"/>
      <c r="Z217" s="95"/>
      <c r="AB217" s="94"/>
    </row>
    <row r="218" spans="24:28" hidden="1">
      <c r="X218" s="96"/>
      <c r="Y218" s="96"/>
      <c r="Z218" s="95"/>
      <c r="AB218" s="94"/>
    </row>
    <row r="219" spans="24:28" hidden="1">
      <c r="X219" s="96"/>
      <c r="Y219" s="96"/>
      <c r="Z219" s="95"/>
      <c r="AB219" s="94"/>
    </row>
    <row r="220" spans="24:28" hidden="1">
      <c r="X220" s="96"/>
      <c r="Y220" s="96"/>
      <c r="Z220" s="95"/>
      <c r="AB220" s="94"/>
    </row>
    <row r="221" spans="24:28" hidden="1">
      <c r="X221" s="96"/>
      <c r="Y221" s="96"/>
      <c r="Z221" s="95"/>
      <c r="AB221" s="94"/>
    </row>
    <row r="222" spans="24:28" hidden="1">
      <c r="X222" s="96"/>
      <c r="Y222" s="96"/>
      <c r="Z222" s="95"/>
      <c r="AB222" s="94"/>
    </row>
    <row r="223" spans="24:28" hidden="1">
      <c r="X223" s="96"/>
      <c r="Y223" s="96"/>
      <c r="Z223" s="95"/>
      <c r="AB223" s="94"/>
    </row>
    <row r="224" spans="24:28" hidden="1">
      <c r="X224" s="96"/>
      <c r="Y224" s="96"/>
      <c r="Z224" s="95"/>
      <c r="AB224" s="94"/>
    </row>
    <row r="225" spans="24:28" hidden="1">
      <c r="X225" s="96"/>
      <c r="Y225" s="96"/>
      <c r="Z225" s="95"/>
      <c r="AB225" s="94"/>
    </row>
    <row r="226" spans="24:28" hidden="1">
      <c r="X226" s="96"/>
      <c r="Y226" s="96"/>
      <c r="Z226" s="95"/>
      <c r="AB226" s="94"/>
    </row>
    <row r="227" spans="24:28" hidden="1">
      <c r="X227" s="96"/>
      <c r="Y227" s="96"/>
      <c r="Z227" s="95"/>
      <c r="AB227" s="94"/>
    </row>
    <row r="228" spans="24:28" hidden="1">
      <c r="X228" s="96"/>
      <c r="Y228" s="96"/>
      <c r="Z228" s="95"/>
      <c r="AB228" s="94"/>
    </row>
    <row r="229" spans="24:28" hidden="1">
      <c r="X229" s="96"/>
      <c r="Y229" s="96"/>
      <c r="Z229" s="95"/>
      <c r="AB229" s="94"/>
    </row>
    <row r="230" spans="24:28" hidden="1">
      <c r="X230" s="96"/>
      <c r="Y230" s="96"/>
      <c r="Z230" s="95"/>
      <c r="AB230" s="94"/>
    </row>
    <row r="231" spans="24:28" hidden="1">
      <c r="X231" s="96"/>
      <c r="Y231" s="96"/>
      <c r="Z231" s="95"/>
      <c r="AB231" s="94"/>
    </row>
    <row r="232" spans="24:28" hidden="1">
      <c r="X232" s="96"/>
      <c r="Y232" s="96"/>
      <c r="Z232" s="95"/>
      <c r="AB232" s="94"/>
    </row>
    <row r="233" spans="24:28" hidden="1">
      <c r="X233" s="96"/>
      <c r="Y233" s="96"/>
      <c r="Z233" s="95"/>
      <c r="AB233" s="94"/>
    </row>
    <row r="234" spans="24:28" hidden="1">
      <c r="X234" s="96"/>
      <c r="Y234" s="96"/>
      <c r="Z234" s="95"/>
      <c r="AB234" s="94"/>
    </row>
    <row r="235" spans="24:28" hidden="1">
      <c r="X235" s="96"/>
      <c r="Y235" s="96"/>
      <c r="Z235" s="95"/>
      <c r="AB235" s="94"/>
    </row>
    <row r="236" spans="24:28" hidden="1">
      <c r="X236" s="96"/>
      <c r="Y236" s="96"/>
      <c r="Z236" s="95"/>
      <c r="AB236" s="94"/>
    </row>
    <row r="237" spans="24:28" hidden="1">
      <c r="X237" s="96"/>
      <c r="Y237" s="96"/>
      <c r="Z237" s="95"/>
      <c r="AB237" s="94"/>
    </row>
    <row r="238" spans="24:28" hidden="1">
      <c r="X238" s="96"/>
      <c r="Y238" s="96"/>
      <c r="Z238" s="95"/>
      <c r="AB238" s="94"/>
    </row>
    <row r="239" spans="24:28" hidden="1">
      <c r="X239" s="96"/>
      <c r="Y239" s="96"/>
      <c r="Z239" s="95"/>
      <c r="AB239" s="94"/>
    </row>
    <row r="240" spans="24:28" hidden="1">
      <c r="X240" s="96"/>
      <c r="Y240" s="96"/>
      <c r="Z240" s="95"/>
      <c r="AB240" s="94"/>
    </row>
    <row r="241" spans="24:28" hidden="1">
      <c r="X241" s="96"/>
      <c r="Y241" s="96"/>
      <c r="Z241" s="95"/>
      <c r="AB241" s="94"/>
    </row>
    <row r="242" spans="24:28" hidden="1">
      <c r="X242" s="96"/>
      <c r="Y242" s="96"/>
      <c r="Z242" s="95"/>
      <c r="AB242" s="94"/>
    </row>
    <row r="243" spans="24:28" hidden="1">
      <c r="X243" s="96"/>
      <c r="Y243" s="96"/>
      <c r="Z243" s="95"/>
      <c r="AB243" s="94"/>
    </row>
    <row r="244" spans="24:28" hidden="1">
      <c r="X244" s="96"/>
      <c r="Y244" s="96"/>
      <c r="Z244" s="95"/>
      <c r="AB244" s="94"/>
    </row>
    <row r="245" spans="24:28" hidden="1">
      <c r="X245" s="96"/>
      <c r="Y245" s="96"/>
      <c r="Z245" s="95"/>
      <c r="AB245" s="94"/>
    </row>
    <row r="246" spans="24:28" hidden="1">
      <c r="X246" s="96"/>
      <c r="Y246" s="96"/>
      <c r="Z246" s="95"/>
      <c r="AB246" s="94"/>
    </row>
    <row r="247" spans="24:28" hidden="1">
      <c r="X247" s="96"/>
      <c r="Y247" s="96"/>
      <c r="Z247" s="95"/>
      <c r="AB247" s="94"/>
    </row>
    <row r="248" spans="24:28" hidden="1">
      <c r="X248" s="96"/>
      <c r="Y248" s="96"/>
      <c r="Z248" s="95"/>
      <c r="AB248" s="94"/>
    </row>
    <row r="249" spans="24:28" hidden="1">
      <c r="X249" s="96"/>
      <c r="Y249" s="96"/>
      <c r="Z249" s="95"/>
      <c r="AB249" s="94"/>
    </row>
    <row r="250" spans="24:28" hidden="1">
      <c r="X250" s="96"/>
      <c r="Y250" s="96"/>
      <c r="Z250" s="95"/>
      <c r="AB250" s="94"/>
    </row>
    <row r="251" spans="24:28" hidden="1">
      <c r="X251" s="96"/>
      <c r="Y251" s="96"/>
      <c r="Z251" s="95"/>
      <c r="AB251" s="94"/>
    </row>
    <row r="252" spans="24:28" hidden="1">
      <c r="X252" s="96"/>
      <c r="Y252" s="96"/>
      <c r="Z252" s="95"/>
      <c r="AB252" s="94"/>
    </row>
    <row r="253" spans="24:28" hidden="1">
      <c r="X253" s="96"/>
      <c r="Y253" s="96"/>
      <c r="Z253" s="95"/>
      <c r="AB253" s="94"/>
    </row>
    <row r="254" spans="24:28" hidden="1">
      <c r="X254" s="96"/>
      <c r="Y254" s="96"/>
      <c r="Z254" s="95"/>
      <c r="AB254" s="94"/>
    </row>
    <row r="255" spans="24:28" hidden="1">
      <c r="X255" s="96"/>
      <c r="Y255" s="96"/>
      <c r="Z255" s="95"/>
      <c r="AB255" s="94"/>
    </row>
    <row r="256" spans="24:28" hidden="1">
      <c r="X256" s="96"/>
      <c r="Y256" s="96"/>
      <c r="Z256" s="95"/>
      <c r="AB256" s="94"/>
    </row>
    <row r="257" spans="24:28" hidden="1">
      <c r="X257" s="96"/>
      <c r="Y257" s="96"/>
      <c r="Z257" s="95"/>
      <c r="AB257" s="94"/>
    </row>
    <row r="258" spans="24:28" hidden="1">
      <c r="X258" s="96"/>
      <c r="Y258" s="96"/>
      <c r="Z258" s="95"/>
      <c r="AB258" s="94"/>
    </row>
    <row r="259" spans="24:28" hidden="1">
      <c r="X259" s="96"/>
      <c r="Y259" s="96"/>
      <c r="Z259" s="95"/>
      <c r="AB259" s="94"/>
    </row>
    <row r="260" spans="24:28" hidden="1">
      <c r="X260" s="96"/>
      <c r="Y260" s="96"/>
      <c r="Z260" s="95"/>
      <c r="AB260" s="94"/>
    </row>
    <row r="261" spans="24:28" hidden="1">
      <c r="X261" s="96"/>
      <c r="Y261" s="96"/>
      <c r="Z261" s="95"/>
      <c r="AB261" s="94"/>
    </row>
    <row r="262" spans="24:28" hidden="1">
      <c r="X262" s="96"/>
      <c r="Y262" s="96"/>
      <c r="Z262" s="95"/>
      <c r="AB262" s="94"/>
    </row>
    <row r="263" spans="24:28" hidden="1">
      <c r="X263" s="96"/>
      <c r="Y263" s="96"/>
      <c r="Z263" s="95"/>
      <c r="AB263" s="94"/>
    </row>
    <row r="264" spans="24:28" hidden="1">
      <c r="X264" s="96"/>
      <c r="Y264" s="96"/>
      <c r="Z264" s="95"/>
      <c r="AB264" s="94"/>
    </row>
    <row r="265" spans="24:28" hidden="1">
      <c r="X265" s="96"/>
      <c r="Y265" s="96"/>
      <c r="Z265" s="95"/>
      <c r="AB265" s="94"/>
    </row>
    <row r="266" spans="24:28" hidden="1">
      <c r="X266" s="96"/>
      <c r="Y266" s="96"/>
      <c r="Z266" s="95"/>
      <c r="AB266" s="94"/>
    </row>
    <row r="267" spans="24:28" hidden="1">
      <c r="X267" s="96"/>
      <c r="Y267" s="96"/>
      <c r="Z267" s="95"/>
      <c r="AB267" s="94"/>
    </row>
    <row r="268" spans="24:28" hidden="1">
      <c r="X268" s="96"/>
      <c r="Y268" s="96"/>
      <c r="Z268" s="95"/>
      <c r="AB268" s="94"/>
    </row>
    <row r="269" spans="24:28" hidden="1">
      <c r="X269" s="96"/>
      <c r="Y269" s="96"/>
      <c r="Z269" s="95"/>
      <c r="AB269" s="94"/>
    </row>
    <row r="270" spans="24:28" hidden="1">
      <c r="X270" s="96"/>
      <c r="Y270" s="96"/>
      <c r="Z270" s="95"/>
      <c r="AB270" s="94"/>
    </row>
    <row r="271" spans="24:28" hidden="1">
      <c r="X271" s="96"/>
      <c r="Y271" s="96"/>
      <c r="Z271" s="95"/>
      <c r="AB271" s="94"/>
    </row>
    <row r="272" spans="24:28" hidden="1">
      <c r="X272" s="96"/>
      <c r="Y272" s="96"/>
      <c r="Z272" s="95"/>
      <c r="AB272" s="94"/>
    </row>
    <row r="273" spans="24:28" hidden="1">
      <c r="X273" s="96"/>
      <c r="Y273" s="96"/>
      <c r="Z273" s="95"/>
      <c r="AB273" s="94"/>
    </row>
    <row r="274" spans="24:28" hidden="1">
      <c r="X274" s="96"/>
      <c r="Y274" s="96"/>
      <c r="Z274" s="95"/>
      <c r="AB274" s="94"/>
    </row>
    <row r="275" spans="24:28" hidden="1">
      <c r="X275" s="96"/>
      <c r="Y275" s="96"/>
      <c r="Z275" s="95"/>
      <c r="AB275" s="94"/>
    </row>
    <row r="276" spans="24:28" hidden="1">
      <c r="X276" s="96"/>
      <c r="Y276" s="96"/>
      <c r="Z276" s="95"/>
      <c r="AB276" s="94"/>
    </row>
    <row r="277" spans="24:28" hidden="1">
      <c r="X277" s="96"/>
      <c r="Y277" s="96"/>
      <c r="Z277" s="95"/>
      <c r="AB277" s="94"/>
    </row>
    <row r="278" spans="24:28" hidden="1">
      <c r="X278" s="96"/>
      <c r="Y278" s="96"/>
      <c r="Z278" s="95"/>
      <c r="AB278" s="94"/>
    </row>
    <row r="279" spans="24:28" hidden="1">
      <c r="X279" s="96"/>
      <c r="Y279" s="96"/>
      <c r="Z279" s="95"/>
      <c r="AB279" s="94"/>
    </row>
    <row r="280" spans="24:28" hidden="1">
      <c r="X280" s="96"/>
      <c r="Y280" s="96"/>
      <c r="Z280" s="95"/>
      <c r="AB280" s="94"/>
    </row>
    <row r="281" spans="24:28" hidden="1">
      <c r="X281" s="96"/>
      <c r="Y281" s="96"/>
      <c r="Z281" s="95"/>
      <c r="AB281" s="94"/>
    </row>
    <row r="282" spans="24:28" hidden="1">
      <c r="X282" s="96"/>
      <c r="Y282" s="96"/>
      <c r="Z282" s="95"/>
      <c r="AB282" s="94"/>
    </row>
    <row r="283" spans="24:28" hidden="1">
      <c r="X283" s="96"/>
      <c r="Y283" s="96"/>
      <c r="Z283" s="95"/>
      <c r="AB283" s="94"/>
    </row>
    <row r="284" spans="24:28" hidden="1">
      <c r="X284" s="96"/>
      <c r="Y284" s="96"/>
      <c r="Z284" s="95"/>
      <c r="AB284" s="94"/>
    </row>
    <row r="285" spans="24:28" hidden="1">
      <c r="X285" s="96"/>
      <c r="Y285" s="96"/>
      <c r="Z285" s="95"/>
      <c r="AB285" s="94"/>
    </row>
    <row r="286" spans="24:28" hidden="1">
      <c r="X286" s="96"/>
      <c r="Y286" s="96"/>
      <c r="Z286" s="95"/>
      <c r="AB286" s="94"/>
    </row>
    <row r="287" spans="24:28" hidden="1">
      <c r="X287" s="96"/>
      <c r="Y287" s="96"/>
      <c r="Z287" s="95"/>
      <c r="AB287" s="94"/>
    </row>
    <row r="288" spans="24:28" hidden="1">
      <c r="X288" s="96"/>
      <c r="Y288" s="96"/>
      <c r="Z288" s="95"/>
      <c r="AB288" s="94"/>
    </row>
    <row r="289" spans="24:28" hidden="1">
      <c r="X289" s="96"/>
      <c r="Y289" s="96"/>
      <c r="Z289" s="95"/>
      <c r="AB289" s="94"/>
    </row>
    <row r="290" spans="24:28" hidden="1">
      <c r="X290" s="96"/>
      <c r="Y290" s="96"/>
      <c r="Z290" s="95"/>
      <c r="AB290" s="94"/>
    </row>
    <row r="291" spans="24:28" hidden="1">
      <c r="X291" s="96"/>
      <c r="Y291" s="96"/>
      <c r="Z291" s="95"/>
      <c r="AB291" s="94"/>
    </row>
    <row r="292" spans="24:28" hidden="1">
      <c r="X292" s="96"/>
      <c r="Y292" s="96"/>
      <c r="Z292" s="95"/>
      <c r="AB292" s="94"/>
    </row>
    <row r="293" spans="24:28" hidden="1">
      <c r="X293" s="96"/>
      <c r="Y293" s="96"/>
      <c r="Z293" s="95"/>
      <c r="AB293" s="94"/>
    </row>
    <row r="294" spans="24:28" hidden="1">
      <c r="X294" s="96"/>
      <c r="Y294" s="96"/>
      <c r="Z294" s="95"/>
      <c r="AB294" s="94"/>
    </row>
    <row r="295" spans="24:28" hidden="1">
      <c r="X295" s="96"/>
      <c r="Y295" s="96"/>
      <c r="Z295" s="95"/>
      <c r="AB295" s="94"/>
    </row>
    <row r="296" spans="24:28" hidden="1">
      <c r="X296" s="96"/>
      <c r="Y296" s="96"/>
      <c r="Z296" s="95"/>
      <c r="AB296" s="94"/>
    </row>
    <row r="297" spans="24:28" hidden="1">
      <c r="X297" s="96"/>
      <c r="Y297" s="96"/>
      <c r="Z297" s="95"/>
      <c r="AB297" s="94"/>
    </row>
    <row r="298" spans="24:28" hidden="1">
      <c r="X298" s="96"/>
      <c r="Y298" s="96"/>
      <c r="Z298" s="95"/>
      <c r="AB298" s="94"/>
    </row>
    <row r="299" spans="24:28" hidden="1">
      <c r="X299" s="96"/>
      <c r="Y299" s="96"/>
      <c r="Z299" s="95"/>
      <c r="AB299" s="94"/>
    </row>
    <row r="300" spans="24:28" hidden="1">
      <c r="X300" s="96"/>
      <c r="Y300" s="96"/>
      <c r="Z300" s="95"/>
      <c r="AB300" s="94"/>
    </row>
    <row r="301" spans="24:28" hidden="1">
      <c r="X301" s="96"/>
      <c r="Y301" s="96"/>
      <c r="Z301" s="95"/>
      <c r="AB301" s="94"/>
    </row>
    <row r="302" spans="24:28" hidden="1">
      <c r="X302" s="96"/>
      <c r="Y302" s="96"/>
      <c r="Z302" s="95"/>
      <c r="AB302" s="94"/>
    </row>
    <row r="303" spans="24:28" hidden="1">
      <c r="X303" s="96"/>
      <c r="Y303" s="96"/>
      <c r="Z303" s="95"/>
      <c r="AB303" s="94"/>
    </row>
    <row r="304" spans="24:28" hidden="1">
      <c r="X304" s="96"/>
      <c r="Y304" s="96"/>
      <c r="Z304" s="95"/>
      <c r="AB304" s="94"/>
    </row>
    <row r="305" spans="23:41" hidden="1">
      <c r="X305" s="96"/>
      <c r="Y305" s="96"/>
      <c r="Z305" s="95"/>
      <c r="AB305" s="94"/>
    </row>
    <row r="306" spans="23:41" hidden="1">
      <c r="X306" s="96"/>
      <c r="Y306" s="96"/>
      <c r="Z306" s="95"/>
      <c r="AB306" s="94"/>
    </row>
    <row r="307" spans="23:41" hidden="1">
      <c r="X307" s="96"/>
      <c r="Y307" s="96"/>
      <c r="Z307" s="95"/>
      <c r="AB307" s="94"/>
    </row>
    <row r="308" spans="23:41" hidden="1">
      <c r="X308" s="96"/>
      <c r="Y308" s="96"/>
      <c r="Z308" s="95"/>
      <c r="AB308" s="94"/>
    </row>
    <row r="309" spans="23:41" hidden="1">
      <c r="X309" s="96"/>
      <c r="Y309" s="96"/>
      <c r="Z309" s="95"/>
      <c r="AB309" s="94"/>
    </row>
    <row r="310" spans="23:41" hidden="1"/>
    <row r="311" spans="23:41" hidden="1"/>
    <row r="312" spans="23:41" hidden="1">
      <c r="X312" s="35"/>
    </row>
    <row r="313" spans="23:41" hidden="1">
      <c r="X313" s="35"/>
    </row>
    <row r="314" spans="23:41" hidden="1">
      <c r="X314" s="92"/>
    </row>
    <row r="315" spans="23:41" hidden="1">
      <c r="X315" s="92"/>
    </row>
    <row r="316" spans="23:41" hidden="1"/>
    <row r="317" spans="23:41" hidden="1">
      <c r="AF317" s="36"/>
      <c r="AG317" s="36"/>
      <c r="AH317" s="36"/>
      <c r="AI317" s="36"/>
      <c r="AJ317" s="36"/>
      <c r="AK317" s="36"/>
      <c r="AL317" s="36"/>
      <c r="AM317" s="36"/>
      <c r="AN317" s="36"/>
      <c r="AO317" s="36"/>
    </row>
    <row r="318" spans="23:41" hidden="1">
      <c r="W318" s="36"/>
      <c r="X318" s="36"/>
      <c r="Y318" s="36"/>
      <c r="Z318" s="36"/>
      <c r="AA318" s="36"/>
      <c r="AB318" s="36"/>
      <c r="AE318" s="89"/>
      <c r="AF318" s="93"/>
      <c r="AG318" s="93"/>
      <c r="AH318" s="93"/>
      <c r="AI318" s="93"/>
      <c r="AJ318" s="93"/>
      <c r="AK318" s="93"/>
      <c r="AL318" s="93"/>
      <c r="AM318" s="93"/>
      <c r="AN318" s="93"/>
      <c r="AO318" s="93"/>
    </row>
    <row r="319" spans="23:41" hidden="1"/>
    <row r="320" spans="23:41" hidden="1">
      <c r="X320" s="94"/>
      <c r="Y320" s="94"/>
      <c r="Z320" s="95"/>
      <c r="AB320" s="94"/>
      <c r="AE320" s="94"/>
    </row>
    <row r="321" spans="23:41" hidden="1">
      <c r="X321" s="94"/>
      <c r="Y321" s="94"/>
      <c r="Z321" s="95"/>
      <c r="AB321" s="94"/>
      <c r="AE321" s="94"/>
    </row>
    <row r="322" spans="23:41" hidden="1">
      <c r="X322" s="94"/>
      <c r="Y322" s="94"/>
      <c r="Z322" s="95"/>
      <c r="AB322" s="94"/>
      <c r="AF322" s="94"/>
      <c r="AG322" s="94"/>
      <c r="AH322" s="94"/>
      <c r="AI322" s="94"/>
      <c r="AJ322" s="94"/>
      <c r="AK322" s="94"/>
      <c r="AL322" s="94"/>
      <c r="AM322" s="94"/>
      <c r="AN322" s="94"/>
      <c r="AO322" s="94"/>
    </row>
    <row r="323" spans="23:41" hidden="1">
      <c r="X323" s="94"/>
      <c r="Y323" s="94"/>
      <c r="Z323" s="95"/>
      <c r="AB323" s="94"/>
      <c r="AF323" s="94"/>
      <c r="AG323" s="94"/>
      <c r="AH323" s="94"/>
      <c r="AI323" s="94"/>
      <c r="AJ323" s="94"/>
      <c r="AK323" s="94"/>
      <c r="AL323" s="94"/>
      <c r="AM323" s="94"/>
      <c r="AN323" s="94"/>
      <c r="AO323" s="94"/>
    </row>
    <row r="324" spans="23:41" hidden="1">
      <c r="X324" s="94"/>
      <c r="Y324" s="94"/>
      <c r="Z324" s="95"/>
      <c r="AB324" s="94"/>
      <c r="AF324" s="94"/>
      <c r="AG324" s="94"/>
      <c r="AH324" s="94"/>
      <c r="AI324" s="94"/>
      <c r="AJ324" s="94"/>
      <c r="AK324" s="94"/>
      <c r="AL324" s="94"/>
      <c r="AM324" s="94"/>
      <c r="AN324" s="94"/>
      <c r="AO324" s="94"/>
    </row>
    <row r="325" spans="23:41">
      <c r="X325" s="94"/>
      <c r="Y325" s="94"/>
      <c r="Z325" s="95"/>
      <c r="AB325" s="94"/>
    </row>
    <row r="326" spans="23:41">
      <c r="X326" s="94"/>
      <c r="Y326" s="94"/>
      <c r="Z326" s="95"/>
      <c r="AB326" s="94"/>
      <c r="AE326" s="94"/>
      <c r="AF326" s="94"/>
      <c r="AG326" s="94"/>
      <c r="AH326" s="94"/>
      <c r="AI326" s="94"/>
      <c r="AJ326" s="94"/>
      <c r="AK326" s="94"/>
      <c r="AL326" s="94"/>
      <c r="AM326" s="94"/>
      <c r="AN326" s="94"/>
      <c r="AO326" s="94"/>
    </row>
    <row r="327" spans="23:41">
      <c r="X327" s="94"/>
      <c r="Y327" s="94"/>
      <c r="Z327" s="95"/>
      <c r="AB327" s="94"/>
    </row>
    <row r="328" spans="23:41">
      <c r="X328" s="94"/>
      <c r="Y328" s="94"/>
      <c r="Z328" s="95"/>
      <c r="AB328" s="94"/>
    </row>
    <row r="329" spans="23:41">
      <c r="X329" s="94"/>
      <c r="Y329" s="94"/>
      <c r="Z329" s="95"/>
      <c r="AB329" s="94"/>
    </row>
    <row r="330" spans="23:41">
      <c r="W330" s="91"/>
    </row>
    <row r="332" spans="23:41">
      <c r="W332" s="36"/>
      <c r="X332" s="36"/>
      <c r="Y332" s="36"/>
      <c r="Z332" s="36"/>
      <c r="AA332" s="36"/>
      <c r="AB332" s="36"/>
    </row>
    <row r="334" spans="23:41">
      <c r="X334" s="96"/>
      <c r="Y334" s="96"/>
      <c r="Z334" s="95"/>
      <c r="AB334" s="94"/>
    </row>
    <row r="335" spans="23:41">
      <c r="X335" s="96"/>
      <c r="Y335" s="96"/>
      <c r="Z335" s="95"/>
      <c r="AB335" s="94"/>
    </row>
    <row r="336" spans="23:41">
      <c r="X336" s="96"/>
      <c r="Y336" s="96"/>
      <c r="Z336" s="95"/>
      <c r="AB336" s="94"/>
    </row>
    <row r="337" spans="24:28">
      <c r="X337" s="96"/>
      <c r="Y337" s="96"/>
      <c r="Z337" s="95"/>
      <c r="AB337" s="94"/>
    </row>
    <row r="338" spans="24:28">
      <c r="X338" s="96"/>
      <c r="Y338" s="96"/>
      <c r="Z338" s="95"/>
      <c r="AB338" s="94"/>
    </row>
    <row r="339" spans="24:28">
      <c r="X339" s="96"/>
      <c r="Y339" s="96"/>
      <c r="Z339" s="95"/>
      <c r="AB339" s="94"/>
    </row>
    <row r="340" spans="24:28">
      <c r="X340" s="96"/>
      <c r="Y340" s="96"/>
      <c r="Z340" s="95"/>
      <c r="AB340" s="94"/>
    </row>
    <row r="341" spans="24:28">
      <c r="X341" s="96"/>
      <c r="Y341" s="96"/>
      <c r="Z341" s="95"/>
      <c r="AB341" s="94"/>
    </row>
    <row r="342" spans="24:28">
      <c r="X342" s="96"/>
      <c r="Y342" s="96"/>
      <c r="Z342" s="95"/>
      <c r="AB342" s="94"/>
    </row>
    <row r="343" spans="24:28">
      <c r="X343" s="96"/>
      <c r="Y343" s="96"/>
      <c r="Z343" s="95"/>
      <c r="AB343" s="94"/>
    </row>
    <row r="344" spans="24:28">
      <c r="X344" s="96"/>
      <c r="Y344" s="96"/>
      <c r="Z344" s="95"/>
      <c r="AB344" s="94"/>
    </row>
    <row r="345" spans="24:28">
      <c r="X345" s="96"/>
      <c r="Y345" s="96"/>
      <c r="Z345" s="95"/>
      <c r="AB345" s="94"/>
    </row>
    <row r="346" spans="24:28">
      <c r="X346" s="96"/>
      <c r="Y346" s="96"/>
      <c r="Z346" s="95"/>
      <c r="AB346" s="94"/>
    </row>
    <row r="347" spans="24:28" hidden="1">
      <c r="X347" s="96"/>
      <c r="Y347" s="96"/>
      <c r="Z347" s="95"/>
      <c r="AB347" s="94"/>
    </row>
    <row r="348" spans="24:28" hidden="1">
      <c r="X348" s="96"/>
      <c r="Y348" s="96"/>
      <c r="Z348" s="95"/>
      <c r="AB348" s="94"/>
    </row>
    <row r="349" spans="24:28" hidden="1">
      <c r="X349" s="96"/>
      <c r="Y349" s="96"/>
      <c r="Z349" s="95"/>
      <c r="AB349" s="94"/>
    </row>
    <row r="350" spans="24:28" hidden="1">
      <c r="X350" s="96"/>
      <c r="Y350" s="96"/>
      <c r="Z350" s="95"/>
      <c r="AB350" s="94"/>
    </row>
    <row r="351" spans="24:28" hidden="1">
      <c r="X351" s="96"/>
      <c r="Y351" s="96"/>
      <c r="Z351" s="95"/>
      <c r="AB351" s="94"/>
    </row>
    <row r="352" spans="24:28" hidden="1">
      <c r="X352" s="96"/>
      <c r="Y352" s="96"/>
      <c r="Z352" s="95"/>
      <c r="AB352" s="94"/>
    </row>
    <row r="353" spans="24:28" hidden="1">
      <c r="X353" s="96"/>
      <c r="Y353" s="96"/>
      <c r="Z353" s="95"/>
      <c r="AB353" s="94"/>
    </row>
    <row r="354" spans="24:28" hidden="1">
      <c r="X354" s="96"/>
      <c r="Y354" s="96"/>
      <c r="Z354" s="95"/>
      <c r="AB354" s="94"/>
    </row>
    <row r="355" spans="24:28" hidden="1">
      <c r="X355" s="96"/>
      <c r="Y355" s="96"/>
      <c r="Z355" s="95"/>
      <c r="AB355" s="94"/>
    </row>
    <row r="356" spans="24:28" hidden="1">
      <c r="X356" s="96"/>
      <c r="Y356" s="96"/>
      <c r="Z356" s="95"/>
      <c r="AB356" s="94"/>
    </row>
    <row r="357" spans="24:28" hidden="1">
      <c r="X357" s="96"/>
      <c r="Y357" s="96"/>
      <c r="Z357" s="95"/>
      <c r="AB357" s="94"/>
    </row>
    <row r="358" spans="24:28" hidden="1">
      <c r="X358" s="96"/>
      <c r="Y358" s="96"/>
      <c r="Z358" s="95"/>
      <c r="AB358" s="94"/>
    </row>
    <row r="359" spans="24:28" hidden="1">
      <c r="X359" s="96"/>
      <c r="Y359" s="96"/>
      <c r="Z359" s="95"/>
      <c r="AB359" s="94"/>
    </row>
    <row r="360" spans="24:28" hidden="1">
      <c r="X360" s="96"/>
      <c r="Y360" s="96"/>
      <c r="Z360" s="95"/>
      <c r="AB360" s="94"/>
    </row>
    <row r="361" spans="24:28" hidden="1">
      <c r="X361" s="96"/>
      <c r="Y361" s="96"/>
      <c r="Z361" s="95"/>
      <c r="AB361" s="94"/>
    </row>
    <row r="362" spans="24:28" hidden="1">
      <c r="X362" s="96"/>
      <c r="Y362" s="96"/>
      <c r="Z362" s="95"/>
      <c r="AB362" s="94"/>
    </row>
    <row r="363" spans="24:28" hidden="1">
      <c r="X363" s="96"/>
      <c r="Y363" s="96"/>
      <c r="Z363" s="95"/>
      <c r="AB363" s="94"/>
    </row>
    <row r="364" spans="24:28" hidden="1">
      <c r="X364" s="96"/>
      <c r="Y364" s="96"/>
      <c r="Z364" s="95"/>
      <c r="AB364" s="94"/>
    </row>
    <row r="365" spans="24:28" hidden="1">
      <c r="X365" s="96"/>
      <c r="Y365" s="96"/>
      <c r="Z365" s="95"/>
      <c r="AB365" s="94"/>
    </row>
    <row r="366" spans="24:28" hidden="1">
      <c r="X366" s="96"/>
      <c r="Y366" s="96"/>
      <c r="Z366" s="95"/>
      <c r="AB366" s="94"/>
    </row>
    <row r="367" spans="24:28" hidden="1">
      <c r="X367" s="96"/>
      <c r="Y367" s="96"/>
      <c r="Z367" s="95"/>
      <c r="AB367" s="94"/>
    </row>
    <row r="368" spans="24:28" hidden="1">
      <c r="X368" s="96"/>
      <c r="Y368" s="96"/>
      <c r="Z368" s="95"/>
      <c r="AB368" s="94"/>
    </row>
    <row r="369" spans="24:28" hidden="1">
      <c r="X369" s="96"/>
      <c r="Y369" s="96"/>
      <c r="Z369" s="95"/>
      <c r="AB369" s="94"/>
    </row>
    <row r="370" spans="24:28" hidden="1">
      <c r="X370" s="96"/>
      <c r="Y370" s="96"/>
      <c r="Z370" s="95"/>
      <c r="AB370" s="94"/>
    </row>
    <row r="371" spans="24:28" hidden="1">
      <c r="X371" s="96"/>
      <c r="Y371" s="96"/>
      <c r="Z371" s="95"/>
      <c r="AB371" s="94"/>
    </row>
    <row r="372" spans="24:28" hidden="1">
      <c r="X372" s="96"/>
      <c r="Y372" s="96"/>
      <c r="Z372" s="95"/>
      <c r="AB372" s="94"/>
    </row>
    <row r="373" spans="24:28" hidden="1">
      <c r="X373" s="96"/>
      <c r="Y373" s="96"/>
      <c r="Z373" s="95"/>
      <c r="AB373" s="94"/>
    </row>
    <row r="374" spans="24:28" hidden="1">
      <c r="X374" s="96"/>
      <c r="Y374" s="96"/>
      <c r="Z374" s="95"/>
      <c r="AB374" s="94"/>
    </row>
    <row r="375" spans="24:28" hidden="1">
      <c r="X375" s="96"/>
      <c r="Y375" s="96"/>
      <c r="Z375" s="95"/>
      <c r="AB375" s="94"/>
    </row>
    <row r="376" spans="24:28" hidden="1">
      <c r="X376" s="96"/>
      <c r="Y376" s="96"/>
      <c r="Z376" s="95"/>
      <c r="AB376" s="94"/>
    </row>
    <row r="377" spans="24:28" hidden="1">
      <c r="X377" s="96"/>
      <c r="Y377" s="96"/>
      <c r="Z377" s="95"/>
      <c r="AB377" s="94"/>
    </row>
    <row r="378" spans="24:28" hidden="1">
      <c r="X378" s="96"/>
      <c r="Y378" s="96"/>
      <c r="Z378" s="95"/>
      <c r="AB378" s="94"/>
    </row>
    <row r="379" spans="24:28" hidden="1">
      <c r="X379" s="96"/>
      <c r="Y379" s="96"/>
      <c r="Z379" s="95"/>
      <c r="AB379" s="94"/>
    </row>
    <row r="380" spans="24:28" hidden="1">
      <c r="X380" s="96"/>
      <c r="Y380" s="96"/>
      <c r="Z380" s="95"/>
      <c r="AB380" s="94"/>
    </row>
    <row r="381" spans="24:28" hidden="1">
      <c r="X381" s="96"/>
      <c r="Y381" s="96"/>
      <c r="Z381" s="95"/>
      <c r="AB381" s="94"/>
    </row>
    <row r="382" spans="24:28" hidden="1">
      <c r="X382" s="96"/>
      <c r="Y382" s="96"/>
      <c r="Z382" s="95"/>
      <c r="AB382" s="94"/>
    </row>
    <row r="383" spans="24:28" hidden="1">
      <c r="X383" s="96"/>
      <c r="Y383" s="96"/>
      <c r="Z383" s="95"/>
      <c r="AB383" s="94"/>
    </row>
    <row r="384" spans="24:28" hidden="1">
      <c r="X384" s="96"/>
      <c r="Y384" s="96"/>
      <c r="Z384" s="95"/>
      <c r="AB384" s="94"/>
    </row>
    <row r="385" spans="24:28" hidden="1">
      <c r="X385" s="96"/>
      <c r="Y385" s="96"/>
      <c r="Z385" s="95"/>
      <c r="AB385" s="94"/>
    </row>
    <row r="386" spans="24:28" hidden="1">
      <c r="X386" s="96"/>
      <c r="Y386" s="96"/>
      <c r="Z386" s="95"/>
      <c r="AB386" s="94"/>
    </row>
    <row r="387" spans="24:28" hidden="1">
      <c r="X387" s="96"/>
      <c r="Y387" s="96"/>
      <c r="Z387" s="95"/>
      <c r="AB387" s="94"/>
    </row>
    <row r="388" spans="24:28" hidden="1">
      <c r="X388" s="96"/>
      <c r="Y388" s="96"/>
      <c r="Z388" s="95"/>
      <c r="AB388" s="94"/>
    </row>
    <row r="389" spans="24:28" hidden="1">
      <c r="X389" s="96"/>
      <c r="Y389" s="96"/>
      <c r="Z389" s="95"/>
      <c r="AB389" s="94"/>
    </row>
    <row r="390" spans="24:28" hidden="1">
      <c r="X390" s="96"/>
      <c r="Y390" s="96"/>
      <c r="Z390" s="95"/>
      <c r="AB390" s="94"/>
    </row>
    <row r="391" spans="24:28" hidden="1">
      <c r="X391" s="96"/>
      <c r="Y391" s="96"/>
      <c r="Z391" s="95"/>
      <c r="AB391" s="94"/>
    </row>
    <row r="392" spans="24:28" hidden="1">
      <c r="X392" s="96"/>
      <c r="Y392" s="96"/>
      <c r="Z392" s="95"/>
      <c r="AB392" s="94"/>
    </row>
    <row r="393" spans="24:28" hidden="1">
      <c r="X393" s="96"/>
      <c r="Y393" s="96"/>
      <c r="Z393" s="95"/>
      <c r="AB393" s="94"/>
    </row>
    <row r="394" spans="24:28" hidden="1">
      <c r="X394" s="96"/>
      <c r="Y394" s="96"/>
      <c r="Z394" s="95"/>
      <c r="AB394" s="94"/>
    </row>
    <row r="395" spans="24:28" hidden="1">
      <c r="X395" s="96"/>
      <c r="Y395" s="96"/>
      <c r="Z395" s="95"/>
      <c r="AB395" s="94"/>
    </row>
    <row r="396" spans="24:28" hidden="1">
      <c r="X396" s="96"/>
      <c r="Y396" s="96"/>
      <c r="Z396" s="95"/>
      <c r="AB396" s="94"/>
    </row>
    <row r="397" spans="24:28" hidden="1">
      <c r="X397" s="96"/>
      <c r="Y397" s="96"/>
      <c r="Z397" s="95"/>
      <c r="AB397" s="94"/>
    </row>
    <row r="398" spans="24:28" hidden="1">
      <c r="X398" s="96"/>
      <c r="Y398" s="96"/>
      <c r="Z398" s="95"/>
      <c r="AB398" s="94"/>
    </row>
    <row r="399" spans="24:28" hidden="1">
      <c r="X399" s="96"/>
      <c r="Y399" s="96"/>
      <c r="Z399" s="95"/>
      <c r="AB399" s="94"/>
    </row>
    <row r="400" spans="24:28" hidden="1">
      <c r="X400" s="96"/>
      <c r="Y400" s="96"/>
      <c r="Z400" s="95"/>
      <c r="AB400" s="94"/>
    </row>
    <row r="401" spans="24:28" hidden="1">
      <c r="X401" s="96"/>
      <c r="Y401" s="96"/>
      <c r="Z401" s="95"/>
      <c r="AB401" s="94"/>
    </row>
    <row r="402" spans="24:28" hidden="1">
      <c r="X402" s="96"/>
      <c r="Y402" s="96"/>
      <c r="Z402" s="95"/>
      <c r="AB402" s="94"/>
    </row>
    <row r="403" spans="24:28" hidden="1">
      <c r="X403" s="96"/>
      <c r="Y403" s="96"/>
      <c r="Z403" s="95"/>
      <c r="AB403" s="94"/>
    </row>
    <row r="404" spans="24:28" hidden="1">
      <c r="X404" s="96"/>
      <c r="Y404" s="96"/>
      <c r="Z404" s="95"/>
      <c r="AB404" s="94"/>
    </row>
    <row r="405" spans="24:28" hidden="1">
      <c r="X405" s="96"/>
      <c r="Y405" s="96"/>
      <c r="Z405" s="95"/>
      <c r="AB405" s="94"/>
    </row>
    <row r="406" spans="24:28" hidden="1">
      <c r="X406" s="96"/>
      <c r="Y406" s="96"/>
      <c r="Z406" s="95"/>
      <c r="AB406" s="94"/>
    </row>
    <row r="407" spans="24:28" hidden="1">
      <c r="X407" s="96"/>
      <c r="Y407" s="96"/>
      <c r="Z407" s="95"/>
      <c r="AB407" s="94"/>
    </row>
    <row r="408" spans="24:28" hidden="1">
      <c r="X408" s="96"/>
      <c r="Y408" s="96"/>
      <c r="Z408" s="95"/>
      <c r="AB408" s="94"/>
    </row>
    <row r="409" spans="24:28" hidden="1">
      <c r="X409" s="96"/>
      <c r="Y409" s="96"/>
      <c r="Z409" s="95"/>
      <c r="AB409" s="94"/>
    </row>
    <row r="410" spans="24:28" hidden="1">
      <c r="X410" s="96"/>
      <c r="Y410" s="96"/>
      <c r="Z410" s="95"/>
      <c r="AB410" s="94"/>
    </row>
    <row r="411" spans="24:28" hidden="1">
      <c r="X411" s="96"/>
      <c r="Y411" s="96"/>
      <c r="Z411" s="95"/>
      <c r="AB411" s="94"/>
    </row>
    <row r="412" spans="24:28" hidden="1">
      <c r="X412" s="96"/>
      <c r="Y412" s="96"/>
      <c r="Z412" s="95"/>
      <c r="AB412" s="94"/>
    </row>
    <row r="413" spans="24:28" hidden="1">
      <c r="X413" s="96"/>
      <c r="Y413" s="96"/>
      <c r="Z413" s="95"/>
      <c r="AB413" s="94"/>
    </row>
    <row r="414" spans="24:28" hidden="1">
      <c r="X414" s="96"/>
      <c r="Y414" s="96"/>
      <c r="Z414" s="95"/>
      <c r="AB414" s="94"/>
    </row>
    <row r="415" spans="24:28" hidden="1">
      <c r="X415" s="96"/>
      <c r="Y415" s="96"/>
      <c r="Z415" s="95"/>
      <c r="AB415" s="94"/>
    </row>
    <row r="416" spans="24:28" hidden="1">
      <c r="X416" s="96"/>
      <c r="Y416" s="96"/>
      <c r="Z416" s="95"/>
      <c r="AB416" s="94"/>
    </row>
    <row r="417" spans="24:28" hidden="1">
      <c r="X417" s="96"/>
      <c r="Y417" s="96"/>
      <c r="Z417" s="95"/>
      <c r="AB417" s="94"/>
    </row>
    <row r="418" spans="24:28" hidden="1">
      <c r="X418" s="96"/>
      <c r="Y418" s="96"/>
      <c r="Z418" s="95"/>
      <c r="AB418" s="94"/>
    </row>
    <row r="419" spans="24:28" hidden="1">
      <c r="X419" s="96"/>
      <c r="Y419" s="96"/>
      <c r="Z419" s="95"/>
      <c r="AB419" s="94"/>
    </row>
    <row r="420" spans="24:28" hidden="1">
      <c r="X420" s="96"/>
      <c r="Y420" s="96"/>
      <c r="Z420" s="95"/>
      <c r="AB420" s="94"/>
    </row>
    <row r="421" spans="24:28" hidden="1">
      <c r="X421" s="96"/>
      <c r="Y421" s="96"/>
      <c r="Z421" s="95"/>
      <c r="AB421" s="94"/>
    </row>
    <row r="422" spans="24:28" hidden="1">
      <c r="X422" s="96"/>
      <c r="Y422" s="96"/>
      <c r="Z422" s="95"/>
      <c r="AB422" s="94"/>
    </row>
    <row r="423" spans="24:28" hidden="1">
      <c r="X423" s="96"/>
      <c r="Y423" s="96"/>
      <c r="Z423" s="95"/>
      <c r="AB423" s="94"/>
    </row>
    <row r="424" spans="24:28" hidden="1">
      <c r="X424" s="96"/>
      <c r="Y424" s="96"/>
      <c r="Z424" s="95"/>
      <c r="AB424" s="94"/>
    </row>
    <row r="425" spans="24:28" hidden="1">
      <c r="X425" s="96"/>
      <c r="Y425" s="96"/>
      <c r="Z425" s="95"/>
      <c r="AB425" s="94"/>
    </row>
    <row r="426" spans="24:28" hidden="1">
      <c r="X426" s="96"/>
      <c r="Y426" s="96"/>
      <c r="Z426" s="95"/>
      <c r="AB426" s="94"/>
    </row>
    <row r="427" spans="24:28" hidden="1">
      <c r="X427" s="96"/>
      <c r="Y427" s="96"/>
      <c r="Z427" s="95"/>
      <c r="AB427" s="94"/>
    </row>
    <row r="428" spans="24:28" hidden="1">
      <c r="X428" s="96"/>
      <c r="Y428" s="96"/>
      <c r="Z428" s="95"/>
      <c r="AB428" s="94"/>
    </row>
    <row r="429" spans="24:28" hidden="1">
      <c r="X429" s="96"/>
      <c r="Y429" s="96"/>
      <c r="Z429" s="95"/>
      <c r="AB429" s="94"/>
    </row>
    <row r="430" spans="24:28" hidden="1">
      <c r="X430" s="96"/>
      <c r="Y430" s="96"/>
      <c r="Z430" s="95"/>
      <c r="AB430" s="94"/>
    </row>
    <row r="431" spans="24:28" hidden="1">
      <c r="X431" s="96"/>
      <c r="Y431" s="96"/>
      <c r="Z431" s="95"/>
      <c r="AB431" s="94"/>
    </row>
    <row r="432" spans="24:28" hidden="1">
      <c r="X432" s="96"/>
      <c r="Y432" s="96"/>
      <c r="Z432" s="95"/>
      <c r="AB432" s="94"/>
    </row>
    <row r="433" spans="24:28" hidden="1">
      <c r="X433" s="96"/>
      <c r="Y433" s="96"/>
      <c r="Z433" s="95"/>
      <c r="AB433" s="94"/>
    </row>
    <row r="434" spans="24:28" hidden="1">
      <c r="X434" s="96"/>
      <c r="Y434" s="96"/>
      <c r="Z434" s="95"/>
      <c r="AB434" s="94"/>
    </row>
    <row r="435" spans="24:28" hidden="1">
      <c r="X435" s="96"/>
      <c r="Y435" s="96"/>
      <c r="Z435" s="95"/>
      <c r="AB435" s="94"/>
    </row>
    <row r="436" spans="24:28" hidden="1">
      <c r="X436" s="96"/>
      <c r="Y436" s="96"/>
      <c r="Z436" s="95"/>
      <c r="AB436" s="94"/>
    </row>
    <row r="437" spans="24:28" hidden="1">
      <c r="X437" s="96"/>
      <c r="Y437" s="96"/>
      <c r="Z437" s="95"/>
      <c r="AB437" s="94"/>
    </row>
    <row r="438" spans="24:28" hidden="1">
      <c r="X438" s="96"/>
      <c r="Y438" s="96"/>
      <c r="Z438" s="95"/>
      <c r="AB438" s="94"/>
    </row>
    <row r="439" spans="24:28" hidden="1">
      <c r="X439" s="96"/>
      <c r="Y439" s="96"/>
      <c r="Z439" s="95"/>
      <c r="AB439" s="94"/>
    </row>
    <row r="440" spans="24:28" hidden="1">
      <c r="X440" s="96"/>
      <c r="Y440" s="96"/>
      <c r="Z440" s="95"/>
      <c r="AB440" s="94"/>
    </row>
    <row r="441" spans="24:28" hidden="1">
      <c r="X441" s="96"/>
      <c r="Y441" s="96"/>
      <c r="Z441" s="95"/>
      <c r="AB441" s="94"/>
    </row>
    <row r="442" spans="24:28" hidden="1">
      <c r="X442" s="96"/>
      <c r="Y442" s="96"/>
      <c r="Z442" s="95"/>
      <c r="AB442" s="94"/>
    </row>
    <row r="443" spans="24:28" hidden="1">
      <c r="X443" s="96"/>
      <c r="Y443" s="96"/>
      <c r="Z443" s="95"/>
      <c r="AB443" s="94"/>
    </row>
    <row r="444" spans="24:28" hidden="1">
      <c r="X444" s="96"/>
      <c r="Y444" s="96"/>
      <c r="Z444" s="95"/>
      <c r="AB444" s="94"/>
    </row>
    <row r="445" spans="24:28" hidden="1">
      <c r="X445" s="96"/>
      <c r="Y445" s="96"/>
      <c r="Z445" s="95"/>
      <c r="AB445" s="94"/>
    </row>
    <row r="446" spans="24:28" hidden="1">
      <c r="X446" s="96"/>
      <c r="Y446" s="96"/>
      <c r="Z446" s="95"/>
      <c r="AB446" s="94"/>
    </row>
    <row r="447" spans="24:28" hidden="1">
      <c r="X447" s="96"/>
      <c r="Y447" s="96"/>
      <c r="Z447" s="95"/>
      <c r="AB447" s="94"/>
    </row>
    <row r="448" spans="24:28" hidden="1">
      <c r="X448" s="96"/>
      <c r="Y448" s="96"/>
      <c r="Z448" s="95"/>
      <c r="AB448" s="94"/>
    </row>
    <row r="449" spans="23:41" hidden="1">
      <c r="X449" s="96"/>
      <c r="Y449" s="96"/>
      <c r="Z449" s="95"/>
      <c r="AB449" s="94"/>
    </row>
    <row r="450" spans="23:41" hidden="1">
      <c r="X450" s="96"/>
      <c r="Y450" s="96"/>
      <c r="Z450" s="95"/>
      <c r="AB450" s="94"/>
    </row>
    <row r="451" spans="23:41" hidden="1">
      <c r="X451" s="96"/>
      <c r="Y451" s="96"/>
      <c r="Z451" s="95"/>
      <c r="AB451" s="94"/>
    </row>
    <row r="452" spans="23:41" hidden="1">
      <c r="X452" s="96"/>
      <c r="Y452" s="96"/>
      <c r="Z452" s="95"/>
      <c r="AB452" s="94"/>
    </row>
    <row r="453" spans="23:41" hidden="1">
      <c r="X453" s="96"/>
      <c r="Y453" s="96"/>
      <c r="Z453" s="95"/>
      <c r="AB453" s="94"/>
    </row>
    <row r="454" spans="23:41" hidden="1"/>
    <row r="455" spans="23:41" hidden="1"/>
    <row r="456" spans="23:41" hidden="1">
      <c r="X456" s="35"/>
    </row>
    <row r="457" spans="23:41" hidden="1">
      <c r="X457" s="35"/>
    </row>
    <row r="458" spans="23:41" hidden="1">
      <c r="X458" s="92"/>
    </row>
    <row r="459" spans="23:41" hidden="1">
      <c r="X459" s="92"/>
    </row>
    <row r="460" spans="23:41" hidden="1"/>
    <row r="461" spans="23:41" hidden="1">
      <c r="AF461" s="36"/>
      <c r="AG461" s="36"/>
      <c r="AH461" s="36"/>
      <c r="AI461" s="36"/>
      <c r="AJ461" s="36"/>
      <c r="AK461" s="36"/>
      <c r="AL461" s="36"/>
      <c r="AM461" s="36"/>
      <c r="AN461" s="36"/>
      <c r="AO461" s="36"/>
    </row>
    <row r="462" spans="23:41" hidden="1">
      <c r="W462" s="36"/>
      <c r="X462" s="36"/>
      <c r="Y462" s="36"/>
      <c r="Z462" s="36"/>
      <c r="AA462" s="36"/>
      <c r="AB462" s="36"/>
      <c r="AE462" s="89"/>
      <c r="AF462" s="93"/>
      <c r="AG462" s="93"/>
      <c r="AH462" s="93"/>
      <c r="AI462" s="93"/>
      <c r="AJ462" s="93"/>
      <c r="AK462" s="93"/>
      <c r="AL462" s="93"/>
      <c r="AM462" s="93"/>
      <c r="AN462" s="93"/>
      <c r="AO462" s="93"/>
    </row>
    <row r="463" spans="23:41" hidden="1"/>
    <row r="464" spans="23:41" hidden="1">
      <c r="X464" s="94"/>
      <c r="Y464" s="94"/>
      <c r="Z464" s="95"/>
      <c r="AB464" s="94"/>
      <c r="AE464" s="94"/>
    </row>
    <row r="465" spans="23:41" hidden="1">
      <c r="X465" s="94"/>
      <c r="Y465" s="94"/>
      <c r="Z465" s="95"/>
      <c r="AB465" s="94"/>
      <c r="AE465" s="94"/>
    </row>
    <row r="466" spans="23:41" hidden="1">
      <c r="X466" s="94"/>
      <c r="Y466" s="94"/>
      <c r="Z466" s="95"/>
      <c r="AB466" s="94"/>
      <c r="AF466" s="94"/>
      <c r="AG466" s="94"/>
      <c r="AH466" s="94"/>
      <c r="AI466" s="94"/>
      <c r="AJ466" s="94"/>
      <c r="AK466" s="94"/>
      <c r="AL466" s="94"/>
      <c r="AM466" s="94"/>
      <c r="AN466" s="94"/>
      <c r="AO466" s="94"/>
    </row>
    <row r="467" spans="23:41" hidden="1">
      <c r="X467" s="94"/>
      <c r="Y467" s="94"/>
      <c r="Z467" s="95"/>
      <c r="AB467" s="94"/>
      <c r="AF467" s="94"/>
      <c r="AG467" s="94"/>
      <c r="AH467" s="94"/>
      <c r="AI467" s="94"/>
      <c r="AJ467" s="94"/>
      <c r="AK467" s="94"/>
      <c r="AL467" s="94"/>
      <c r="AM467" s="94"/>
      <c r="AN467" s="94"/>
      <c r="AO467" s="94"/>
    </row>
    <row r="468" spans="23:41" hidden="1">
      <c r="X468" s="94"/>
      <c r="Y468" s="94"/>
      <c r="Z468" s="95"/>
      <c r="AB468" s="94"/>
      <c r="AF468" s="94"/>
      <c r="AG468" s="94"/>
      <c r="AH468" s="94"/>
      <c r="AI468" s="94"/>
      <c r="AJ468" s="94"/>
      <c r="AK468" s="94"/>
      <c r="AL468" s="94"/>
      <c r="AM468" s="94"/>
      <c r="AN468" s="94"/>
      <c r="AO468" s="94"/>
    </row>
    <row r="469" spans="23:41">
      <c r="X469" s="94"/>
      <c r="Y469" s="94"/>
      <c r="Z469" s="95"/>
      <c r="AB469" s="94"/>
    </row>
    <row r="470" spans="23:41">
      <c r="X470" s="94"/>
      <c r="Y470" s="94"/>
      <c r="Z470" s="95"/>
      <c r="AB470" s="94"/>
      <c r="AE470" s="94"/>
      <c r="AF470" s="94"/>
      <c r="AG470" s="94"/>
      <c r="AH470" s="94"/>
      <c r="AI470" s="94"/>
      <c r="AJ470" s="94"/>
      <c r="AK470" s="94"/>
      <c r="AL470" s="94"/>
      <c r="AM470" s="94"/>
      <c r="AN470" s="94"/>
      <c r="AO470" s="94"/>
    </row>
    <row r="471" spans="23:41">
      <c r="X471" s="94"/>
      <c r="Y471" s="94"/>
      <c r="Z471" s="95"/>
      <c r="AB471" s="94"/>
    </row>
    <row r="472" spans="23:41">
      <c r="X472" s="94"/>
      <c r="Y472" s="94"/>
      <c r="Z472" s="95"/>
      <c r="AB472" s="94"/>
    </row>
    <row r="473" spans="23:41">
      <c r="X473" s="94"/>
      <c r="Y473" s="94"/>
      <c r="Z473" s="95"/>
      <c r="AB473" s="94"/>
    </row>
    <row r="474" spans="23:41">
      <c r="W474" s="91"/>
    </row>
    <row r="476" spans="23:41">
      <c r="W476" s="36"/>
      <c r="X476" s="36"/>
      <c r="Y476" s="36"/>
      <c r="Z476" s="36"/>
      <c r="AA476" s="36"/>
      <c r="AB476" s="36"/>
    </row>
    <row r="478" spans="23:41">
      <c r="X478" s="96"/>
      <c r="Y478" s="96"/>
      <c r="Z478" s="95"/>
      <c r="AB478" s="94"/>
    </row>
    <row r="479" spans="23:41">
      <c r="X479" s="96"/>
      <c r="Y479" s="96"/>
      <c r="Z479" s="95"/>
      <c r="AB479" s="94"/>
    </row>
    <row r="480" spans="23:41">
      <c r="X480" s="96"/>
      <c r="Y480" s="96"/>
      <c r="Z480" s="95"/>
      <c r="AB480" s="94"/>
    </row>
    <row r="481" spans="24:28">
      <c r="X481" s="96"/>
      <c r="Y481" s="96"/>
      <c r="Z481" s="95"/>
      <c r="AB481" s="94"/>
    </row>
    <row r="482" spans="24:28">
      <c r="X482" s="96"/>
      <c r="Y482" s="96"/>
      <c r="Z482" s="95"/>
      <c r="AB482" s="94"/>
    </row>
    <row r="483" spans="24:28">
      <c r="X483" s="96"/>
      <c r="Y483" s="96"/>
      <c r="Z483" s="95"/>
      <c r="AB483" s="94"/>
    </row>
    <row r="484" spans="24:28">
      <c r="X484" s="96"/>
      <c r="Y484" s="96"/>
      <c r="Z484" s="95"/>
      <c r="AB484" s="94"/>
    </row>
    <row r="485" spans="24:28">
      <c r="X485" s="96"/>
      <c r="Y485" s="96"/>
      <c r="Z485" s="95"/>
      <c r="AB485" s="94"/>
    </row>
    <row r="486" spans="24:28">
      <c r="X486" s="96"/>
      <c r="Y486" s="96"/>
      <c r="Z486" s="95"/>
      <c r="AB486" s="94"/>
    </row>
    <row r="487" spans="24:28">
      <c r="X487" s="96"/>
      <c r="Y487" s="96"/>
      <c r="Z487" s="95"/>
      <c r="AB487" s="94"/>
    </row>
    <row r="488" spans="24:28">
      <c r="X488" s="96"/>
      <c r="Y488" s="96"/>
      <c r="Z488" s="95"/>
      <c r="AB488" s="94"/>
    </row>
    <row r="489" spans="24:28">
      <c r="X489" s="96"/>
      <c r="Y489" s="96"/>
      <c r="Z489" s="95"/>
      <c r="AB489" s="94"/>
    </row>
    <row r="490" spans="24:28">
      <c r="X490" s="96"/>
      <c r="Y490" s="96"/>
      <c r="Z490" s="95"/>
      <c r="AB490" s="94"/>
    </row>
    <row r="491" spans="24:28" hidden="1">
      <c r="X491" s="96"/>
      <c r="Y491" s="96"/>
      <c r="Z491" s="95"/>
      <c r="AB491" s="94"/>
    </row>
    <row r="492" spans="24:28" hidden="1">
      <c r="X492" s="96"/>
      <c r="Y492" s="96"/>
      <c r="Z492" s="95"/>
      <c r="AB492" s="94"/>
    </row>
    <row r="493" spans="24:28" hidden="1">
      <c r="X493" s="96"/>
      <c r="Y493" s="96"/>
      <c r="Z493" s="95"/>
      <c r="AB493" s="94"/>
    </row>
    <row r="494" spans="24:28" hidden="1">
      <c r="X494" s="96"/>
      <c r="Y494" s="96"/>
      <c r="Z494" s="95"/>
      <c r="AB494" s="94"/>
    </row>
    <row r="495" spans="24:28" hidden="1">
      <c r="X495" s="96"/>
      <c r="Y495" s="96"/>
      <c r="Z495" s="95"/>
      <c r="AB495" s="94"/>
    </row>
    <row r="496" spans="24:28" hidden="1">
      <c r="X496" s="96"/>
      <c r="Y496" s="96"/>
      <c r="Z496" s="95"/>
      <c r="AB496" s="94"/>
    </row>
    <row r="497" spans="24:28" hidden="1">
      <c r="X497" s="96"/>
      <c r="Y497" s="96"/>
      <c r="Z497" s="95"/>
      <c r="AB497" s="94"/>
    </row>
    <row r="498" spans="24:28" hidden="1">
      <c r="X498" s="96"/>
      <c r="Y498" s="96"/>
      <c r="Z498" s="95"/>
      <c r="AB498" s="94"/>
    </row>
    <row r="499" spans="24:28" hidden="1">
      <c r="X499" s="96"/>
      <c r="Y499" s="96"/>
      <c r="Z499" s="95"/>
      <c r="AB499" s="94"/>
    </row>
    <row r="500" spans="24:28" hidden="1">
      <c r="X500" s="96"/>
      <c r="Y500" s="96"/>
      <c r="Z500" s="95"/>
      <c r="AB500" s="94"/>
    </row>
    <row r="501" spans="24:28" hidden="1">
      <c r="X501" s="96"/>
      <c r="Y501" s="96"/>
      <c r="Z501" s="95"/>
      <c r="AB501" s="94"/>
    </row>
    <row r="502" spans="24:28" hidden="1">
      <c r="X502" s="96"/>
      <c r="Y502" s="96"/>
      <c r="Z502" s="95"/>
      <c r="AB502" s="94"/>
    </row>
    <row r="503" spans="24:28" hidden="1">
      <c r="X503" s="96"/>
      <c r="Y503" s="96"/>
      <c r="Z503" s="95"/>
      <c r="AB503" s="94"/>
    </row>
    <row r="504" spans="24:28" hidden="1">
      <c r="X504" s="96"/>
      <c r="Y504" s="96"/>
      <c r="Z504" s="95"/>
      <c r="AB504" s="94"/>
    </row>
    <row r="505" spans="24:28" hidden="1">
      <c r="X505" s="96"/>
      <c r="Y505" s="96"/>
      <c r="Z505" s="95"/>
      <c r="AB505" s="94"/>
    </row>
    <row r="506" spans="24:28" hidden="1">
      <c r="X506" s="96"/>
      <c r="Y506" s="96"/>
      <c r="Z506" s="95"/>
      <c r="AB506" s="94"/>
    </row>
    <row r="507" spans="24:28" hidden="1">
      <c r="X507" s="96"/>
      <c r="Y507" s="96"/>
      <c r="Z507" s="95"/>
      <c r="AB507" s="94"/>
    </row>
    <row r="508" spans="24:28" hidden="1">
      <c r="X508" s="96"/>
      <c r="Y508" s="96"/>
      <c r="Z508" s="95"/>
      <c r="AB508" s="94"/>
    </row>
    <row r="509" spans="24:28" hidden="1">
      <c r="X509" s="96"/>
      <c r="Y509" s="96"/>
      <c r="Z509" s="95"/>
      <c r="AB509" s="94"/>
    </row>
    <row r="510" spans="24:28" hidden="1">
      <c r="X510" s="96"/>
      <c r="Y510" s="96"/>
      <c r="Z510" s="95"/>
      <c r="AB510" s="94"/>
    </row>
    <row r="511" spans="24:28" hidden="1">
      <c r="X511" s="96"/>
      <c r="Y511" s="96"/>
      <c r="Z511" s="95"/>
      <c r="AB511" s="94"/>
    </row>
    <row r="512" spans="24:28" hidden="1">
      <c r="X512" s="96"/>
      <c r="Y512" s="96"/>
      <c r="Z512" s="95"/>
      <c r="AB512" s="94"/>
    </row>
    <row r="513" spans="24:28" hidden="1">
      <c r="X513" s="96"/>
      <c r="Y513" s="96"/>
      <c r="Z513" s="95"/>
      <c r="AB513" s="94"/>
    </row>
    <row r="514" spans="24:28" hidden="1">
      <c r="X514" s="96"/>
      <c r="Y514" s="96"/>
      <c r="Z514" s="95"/>
      <c r="AB514" s="94"/>
    </row>
    <row r="515" spans="24:28" hidden="1">
      <c r="X515" s="96"/>
      <c r="Y515" s="96"/>
      <c r="Z515" s="95"/>
      <c r="AB515" s="94"/>
    </row>
    <row r="516" spans="24:28" hidden="1">
      <c r="X516" s="96"/>
      <c r="Y516" s="96"/>
      <c r="Z516" s="95"/>
      <c r="AB516" s="94"/>
    </row>
    <row r="517" spans="24:28" hidden="1">
      <c r="X517" s="96"/>
      <c r="Y517" s="96"/>
      <c r="Z517" s="95"/>
      <c r="AB517" s="94"/>
    </row>
    <row r="518" spans="24:28" hidden="1">
      <c r="X518" s="96"/>
      <c r="Y518" s="96"/>
      <c r="Z518" s="95"/>
      <c r="AB518" s="94"/>
    </row>
    <row r="519" spans="24:28" hidden="1">
      <c r="X519" s="96"/>
      <c r="Y519" s="96"/>
      <c r="Z519" s="95"/>
      <c r="AB519" s="94"/>
    </row>
    <row r="520" spans="24:28" hidden="1">
      <c r="X520" s="96"/>
      <c r="Y520" s="96"/>
      <c r="Z520" s="95"/>
      <c r="AB520" s="94"/>
    </row>
    <row r="521" spans="24:28" hidden="1">
      <c r="X521" s="96"/>
      <c r="Y521" s="96"/>
      <c r="Z521" s="95"/>
      <c r="AB521" s="94"/>
    </row>
    <row r="522" spans="24:28" hidden="1">
      <c r="X522" s="96"/>
      <c r="Y522" s="96"/>
      <c r="Z522" s="95"/>
      <c r="AB522" s="94"/>
    </row>
    <row r="523" spans="24:28" hidden="1">
      <c r="X523" s="96"/>
      <c r="Y523" s="96"/>
      <c r="Z523" s="95"/>
      <c r="AB523" s="94"/>
    </row>
    <row r="524" spans="24:28" hidden="1">
      <c r="X524" s="96"/>
      <c r="Y524" s="96"/>
      <c r="Z524" s="95"/>
      <c r="AB524" s="94"/>
    </row>
    <row r="525" spans="24:28" hidden="1">
      <c r="X525" s="96"/>
      <c r="Y525" s="96"/>
      <c r="Z525" s="95"/>
      <c r="AB525" s="94"/>
    </row>
    <row r="526" spans="24:28" hidden="1">
      <c r="X526" s="96"/>
      <c r="Y526" s="96"/>
      <c r="Z526" s="95"/>
      <c r="AB526" s="94"/>
    </row>
    <row r="527" spans="24:28" hidden="1">
      <c r="X527" s="96"/>
      <c r="Y527" s="96"/>
      <c r="Z527" s="95"/>
      <c r="AB527" s="94"/>
    </row>
    <row r="528" spans="24:28" hidden="1">
      <c r="X528" s="96"/>
      <c r="Y528" s="96"/>
      <c r="Z528" s="95"/>
      <c r="AB528" s="94"/>
    </row>
    <row r="529" spans="24:28" hidden="1">
      <c r="X529" s="96"/>
      <c r="Y529" s="96"/>
      <c r="Z529" s="95"/>
      <c r="AB529" s="94"/>
    </row>
    <row r="530" spans="24:28" hidden="1">
      <c r="X530" s="96"/>
      <c r="Y530" s="96"/>
      <c r="Z530" s="95"/>
      <c r="AB530" s="94"/>
    </row>
    <row r="531" spans="24:28" hidden="1">
      <c r="X531" s="96"/>
      <c r="Y531" s="96"/>
      <c r="Z531" s="95"/>
      <c r="AB531" s="94"/>
    </row>
    <row r="532" spans="24:28" hidden="1">
      <c r="X532" s="96"/>
      <c r="Y532" s="96"/>
      <c r="Z532" s="95"/>
      <c r="AB532" s="94"/>
    </row>
    <row r="533" spans="24:28" hidden="1">
      <c r="X533" s="96"/>
      <c r="Y533" s="96"/>
      <c r="Z533" s="95"/>
      <c r="AB533" s="94"/>
    </row>
    <row r="534" spans="24:28" hidden="1">
      <c r="X534" s="96"/>
      <c r="Y534" s="96"/>
      <c r="Z534" s="95"/>
      <c r="AB534" s="94"/>
    </row>
    <row r="535" spans="24:28" hidden="1">
      <c r="X535" s="96"/>
      <c r="Y535" s="96"/>
      <c r="Z535" s="95"/>
      <c r="AB535" s="94"/>
    </row>
    <row r="536" spans="24:28" hidden="1">
      <c r="X536" s="96"/>
      <c r="Y536" s="96"/>
      <c r="Z536" s="95"/>
      <c r="AB536" s="94"/>
    </row>
    <row r="537" spans="24:28" hidden="1">
      <c r="X537" s="96"/>
      <c r="Y537" s="96"/>
      <c r="Z537" s="95"/>
      <c r="AB537" s="94"/>
    </row>
    <row r="538" spans="24:28" hidden="1">
      <c r="X538" s="96"/>
      <c r="Y538" s="96"/>
      <c r="Z538" s="95"/>
      <c r="AB538" s="94"/>
    </row>
    <row r="539" spans="24:28" hidden="1">
      <c r="X539" s="96"/>
      <c r="Y539" s="96"/>
      <c r="Z539" s="95"/>
      <c r="AB539" s="94"/>
    </row>
    <row r="540" spans="24:28" hidden="1">
      <c r="X540" s="96"/>
      <c r="Y540" s="96"/>
      <c r="Z540" s="95"/>
      <c r="AB540" s="94"/>
    </row>
    <row r="541" spans="24:28" hidden="1">
      <c r="X541" s="96"/>
      <c r="Y541" s="96"/>
      <c r="Z541" s="95"/>
      <c r="AB541" s="94"/>
    </row>
    <row r="542" spans="24:28" hidden="1">
      <c r="X542" s="96"/>
      <c r="Y542" s="96"/>
      <c r="Z542" s="95"/>
      <c r="AB542" s="94"/>
    </row>
    <row r="543" spans="24:28" hidden="1">
      <c r="X543" s="96"/>
      <c r="Y543" s="96"/>
      <c r="Z543" s="95"/>
      <c r="AB543" s="94"/>
    </row>
    <row r="544" spans="24:28" hidden="1">
      <c r="X544" s="96"/>
      <c r="Y544" s="96"/>
      <c r="Z544" s="95"/>
      <c r="AB544" s="94"/>
    </row>
    <row r="545" spans="24:28" hidden="1">
      <c r="X545" s="96"/>
      <c r="Y545" s="96"/>
      <c r="Z545" s="95"/>
      <c r="AB545" s="94"/>
    </row>
    <row r="546" spans="24:28" hidden="1">
      <c r="X546" s="96"/>
      <c r="Y546" s="96"/>
      <c r="Z546" s="95"/>
      <c r="AB546" s="94"/>
    </row>
    <row r="547" spans="24:28" hidden="1">
      <c r="X547" s="96"/>
      <c r="Y547" s="96"/>
      <c r="Z547" s="95"/>
      <c r="AB547" s="94"/>
    </row>
    <row r="548" spans="24:28" hidden="1">
      <c r="X548" s="96"/>
      <c r="Y548" s="96"/>
      <c r="Z548" s="95"/>
      <c r="AB548" s="94"/>
    </row>
    <row r="549" spans="24:28" hidden="1">
      <c r="X549" s="96"/>
      <c r="Y549" s="96"/>
      <c r="Z549" s="95"/>
      <c r="AB549" s="94"/>
    </row>
    <row r="550" spans="24:28" hidden="1">
      <c r="X550" s="96"/>
      <c r="Y550" s="96"/>
      <c r="Z550" s="95"/>
      <c r="AB550" s="94"/>
    </row>
    <row r="551" spans="24:28" hidden="1">
      <c r="X551" s="96"/>
      <c r="Y551" s="96"/>
      <c r="Z551" s="95"/>
      <c r="AB551" s="94"/>
    </row>
    <row r="552" spans="24:28" hidden="1">
      <c r="X552" s="96"/>
      <c r="Y552" s="96"/>
      <c r="Z552" s="95"/>
      <c r="AB552" s="94"/>
    </row>
    <row r="553" spans="24:28" hidden="1">
      <c r="X553" s="96"/>
      <c r="Y553" s="96"/>
      <c r="Z553" s="95"/>
      <c r="AB553" s="94"/>
    </row>
    <row r="554" spans="24:28" hidden="1">
      <c r="X554" s="96"/>
      <c r="Y554" s="96"/>
      <c r="Z554" s="95"/>
      <c r="AB554" s="94"/>
    </row>
    <row r="555" spans="24:28" hidden="1">
      <c r="X555" s="96"/>
      <c r="Y555" s="96"/>
      <c r="Z555" s="95"/>
      <c r="AB555" s="94"/>
    </row>
    <row r="556" spans="24:28" hidden="1">
      <c r="X556" s="96"/>
      <c r="Y556" s="96"/>
      <c r="Z556" s="95"/>
      <c r="AB556" s="94"/>
    </row>
    <row r="557" spans="24:28" hidden="1">
      <c r="X557" s="96"/>
      <c r="Y557" s="96"/>
      <c r="Z557" s="95"/>
      <c r="AB557" s="94"/>
    </row>
    <row r="558" spans="24:28" hidden="1">
      <c r="X558" s="96"/>
      <c r="Y558" s="96"/>
      <c r="Z558" s="95"/>
      <c r="AB558" s="94"/>
    </row>
    <row r="559" spans="24:28" hidden="1">
      <c r="X559" s="96"/>
      <c r="Y559" s="96"/>
      <c r="Z559" s="95"/>
      <c r="AB559" s="94"/>
    </row>
    <row r="560" spans="24:28" hidden="1">
      <c r="X560" s="96"/>
      <c r="Y560" s="96"/>
      <c r="Z560" s="95"/>
      <c r="AB560" s="94"/>
    </row>
    <row r="561" spans="24:28" hidden="1">
      <c r="X561" s="96"/>
      <c r="Y561" s="96"/>
      <c r="Z561" s="95"/>
      <c r="AB561" s="94"/>
    </row>
    <row r="562" spans="24:28" hidden="1">
      <c r="X562" s="96"/>
      <c r="Y562" s="96"/>
      <c r="Z562" s="95"/>
      <c r="AB562" s="94"/>
    </row>
    <row r="563" spans="24:28" hidden="1">
      <c r="X563" s="96"/>
      <c r="Y563" s="96"/>
      <c r="Z563" s="95"/>
      <c r="AB563" s="94"/>
    </row>
    <row r="564" spans="24:28" hidden="1">
      <c r="X564" s="96"/>
      <c r="Y564" s="96"/>
      <c r="Z564" s="95"/>
      <c r="AB564" s="94"/>
    </row>
    <row r="565" spans="24:28" hidden="1">
      <c r="X565" s="96"/>
      <c r="Y565" s="96"/>
      <c r="Z565" s="95"/>
      <c r="AB565" s="94"/>
    </row>
    <row r="566" spans="24:28" hidden="1">
      <c r="X566" s="96"/>
      <c r="Y566" s="96"/>
      <c r="Z566" s="95"/>
      <c r="AB566" s="94"/>
    </row>
    <row r="567" spans="24:28" hidden="1">
      <c r="X567" s="96"/>
      <c r="Y567" s="96"/>
      <c r="Z567" s="95"/>
      <c r="AB567" s="94"/>
    </row>
    <row r="568" spans="24:28" hidden="1">
      <c r="X568" s="96"/>
      <c r="Y568" s="96"/>
      <c r="Z568" s="95"/>
      <c r="AB568" s="94"/>
    </row>
    <row r="569" spans="24:28" hidden="1">
      <c r="X569" s="96"/>
      <c r="Y569" s="96"/>
      <c r="Z569" s="95"/>
      <c r="AB569" s="94"/>
    </row>
    <row r="570" spans="24:28" hidden="1">
      <c r="X570" s="96"/>
      <c r="Y570" s="96"/>
      <c r="Z570" s="95"/>
      <c r="AB570" s="94"/>
    </row>
    <row r="571" spans="24:28" hidden="1">
      <c r="X571" s="96"/>
      <c r="Y571" s="96"/>
      <c r="Z571" s="95"/>
      <c r="AB571" s="94"/>
    </row>
    <row r="572" spans="24:28" hidden="1">
      <c r="X572" s="96"/>
      <c r="Y572" s="96"/>
      <c r="Z572" s="95"/>
      <c r="AB572" s="94"/>
    </row>
    <row r="573" spans="24:28" hidden="1">
      <c r="X573" s="96"/>
      <c r="Y573" s="96"/>
      <c r="Z573" s="95"/>
      <c r="AB573" s="94"/>
    </row>
    <row r="574" spans="24:28" hidden="1">
      <c r="X574" s="96"/>
      <c r="Y574" s="96"/>
      <c r="Z574" s="95"/>
      <c r="AB574" s="94"/>
    </row>
    <row r="575" spans="24:28" hidden="1">
      <c r="X575" s="96"/>
      <c r="Y575" s="96"/>
      <c r="Z575" s="95"/>
      <c r="AB575" s="94"/>
    </row>
    <row r="576" spans="24:28" hidden="1">
      <c r="X576" s="96"/>
      <c r="Y576" s="96"/>
      <c r="Z576" s="95"/>
      <c r="AB576" s="94"/>
    </row>
    <row r="577" spans="24:28" hidden="1">
      <c r="X577" s="96"/>
      <c r="Y577" s="96"/>
      <c r="Z577" s="95"/>
      <c r="AB577" s="94"/>
    </row>
    <row r="578" spans="24:28" hidden="1">
      <c r="X578" s="96"/>
      <c r="Y578" s="96"/>
      <c r="Z578" s="95"/>
      <c r="AB578" s="94"/>
    </row>
    <row r="579" spans="24:28" hidden="1">
      <c r="X579" s="96"/>
      <c r="Y579" s="96"/>
      <c r="Z579" s="95"/>
      <c r="AB579" s="94"/>
    </row>
    <row r="580" spans="24:28" hidden="1">
      <c r="X580" s="96"/>
      <c r="Y580" s="96"/>
      <c r="Z580" s="95"/>
      <c r="AB580" s="94"/>
    </row>
    <row r="581" spans="24:28" hidden="1">
      <c r="X581" s="96"/>
      <c r="Y581" s="96"/>
      <c r="Z581" s="95"/>
      <c r="AB581" s="94"/>
    </row>
    <row r="582" spans="24:28" hidden="1">
      <c r="X582" s="96"/>
      <c r="Y582" s="96"/>
      <c r="Z582" s="95"/>
      <c r="AB582" s="94"/>
    </row>
    <row r="583" spans="24:28" hidden="1">
      <c r="X583" s="96"/>
      <c r="Y583" s="96"/>
      <c r="Z583" s="95"/>
      <c r="AB583" s="94"/>
    </row>
    <row r="584" spans="24:28" hidden="1">
      <c r="X584" s="96"/>
      <c r="Y584" s="96"/>
      <c r="Z584" s="95"/>
      <c r="AB584" s="94"/>
    </row>
    <row r="585" spans="24:28" hidden="1">
      <c r="X585" s="96"/>
      <c r="Y585" s="96"/>
      <c r="Z585" s="95"/>
      <c r="AB585" s="94"/>
    </row>
    <row r="586" spans="24:28" hidden="1">
      <c r="X586" s="96"/>
      <c r="Y586" s="96"/>
      <c r="Z586" s="95"/>
      <c r="AB586" s="94"/>
    </row>
    <row r="587" spans="24:28" hidden="1">
      <c r="X587" s="96"/>
      <c r="Y587" s="96"/>
      <c r="Z587" s="95"/>
      <c r="AB587" s="94"/>
    </row>
    <row r="588" spans="24:28" hidden="1">
      <c r="X588" s="96"/>
      <c r="Y588" s="96"/>
      <c r="Z588" s="95"/>
      <c r="AB588" s="94"/>
    </row>
    <row r="589" spans="24:28" hidden="1">
      <c r="X589" s="96"/>
      <c r="Y589" s="96"/>
      <c r="Z589" s="95"/>
      <c r="AB589" s="94"/>
    </row>
    <row r="590" spans="24:28" hidden="1">
      <c r="X590" s="96"/>
      <c r="Y590" s="96"/>
      <c r="Z590" s="95"/>
      <c r="AB590" s="94"/>
    </row>
    <row r="591" spans="24:28" hidden="1">
      <c r="X591" s="96"/>
      <c r="Y591" s="96"/>
      <c r="Z591" s="95"/>
      <c r="AB591" s="94"/>
    </row>
    <row r="592" spans="24:28" hidden="1">
      <c r="X592" s="96"/>
      <c r="Y592" s="96"/>
      <c r="Z592" s="95"/>
      <c r="AB592" s="94"/>
    </row>
    <row r="593" spans="23:41" hidden="1">
      <c r="X593" s="96"/>
      <c r="Y593" s="96"/>
      <c r="Z593" s="95"/>
      <c r="AB593" s="94"/>
    </row>
    <row r="594" spans="23:41" hidden="1">
      <c r="X594" s="96"/>
      <c r="Y594" s="96"/>
      <c r="Z594" s="95"/>
      <c r="AB594" s="94"/>
    </row>
    <row r="595" spans="23:41" hidden="1">
      <c r="X595" s="96"/>
      <c r="Y595" s="96"/>
      <c r="Z595" s="95"/>
      <c r="AB595" s="94"/>
    </row>
    <row r="596" spans="23:41" hidden="1">
      <c r="X596" s="96"/>
      <c r="Y596" s="96"/>
      <c r="Z596" s="95"/>
      <c r="AB596" s="94"/>
    </row>
    <row r="597" spans="23:41" hidden="1">
      <c r="X597" s="96"/>
      <c r="Y597" s="96"/>
      <c r="Z597" s="95"/>
      <c r="AB597" s="94"/>
    </row>
    <row r="598" spans="23:41" hidden="1"/>
    <row r="599" spans="23:41" hidden="1"/>
    <row r="600" spans="23:41" hidden="1">
      <c r="X600" s="35"/>
    </row>
    <row r="601" spans="23:41" hidden="1">
      <c r="X601" s="35"/>
    </row>
    <row r="602" spans="23:41" hidden="1">
      <c r="X602" s="92"/>
    </row>
    <row r="603" spans="23:41" hidden="1">
      <c r="X603" s="92"/>
    </row>
    <row r="604" spans="23:41" hidden="1"/>
    <row r="605" spans="23:41" hidden="1">
      <c r="AF605" s="36"/>
      <c r="AG605" s="36"/>
      <c r="AH605" s="36"/>
      <c r="AI605" s="36"/>
      <c r="AJ605" s="36"/>
      <c r="AK605" s="36"/>
      <c r="AL605" s="36"/>
      <c r="AM605" s="36"/>
      <c r="AN605" s="36"/>
      <c r="AO605" s="36"/>
    </row>
    <row r="606" spans="23:41" hidden="1">
      <c r="W606" s="36"/>
      <c r="X606" s="36"/>
      <c r="Y606" s="36"/>
      <c r="Z606" s="36"/>
      <c r="AA606" s="36"/>
      <c r="AB606" s="36"/>
      <c r="AE606" s="89"/>
      <c r="AF606" s="93"/>
      <c r="AG606" s="93"/>
      <c r="AH606" s="93"/>
      <c r="AI606" s="93"/>
      <c r="AJ606" s="93"/>
      <c r="AK606" s="93"/>
      <c r="AL606" s="93"/>
      <c r="AM606" s="93"/>
      <c r="AN606" s="93"/>
      <c r="AO606" s="93"/>
    </row>
    <row r="607" spans="23:41" hidden="1"/>
    <row r="608" spans="23:41" hidden="1">
      <c r="X608" s="94"/>
      <c r="Y608" s="94"/>
      <c r="Z608" s="95"/>
      <c r="AB608" s="94"/>
      <c r="AE608" s="94"/>
    </row>
    <row r="609" spans="23:41" hidden="1">
      <c r="X609" s="94"/>
      <c r="Y609" s="94"/>
      <c r="Z609" s="95"/>
      <c r="AB609" s="94"/>
      <c r="AE609" s="94"/>
    </row>
    <row r="610" spans="23:41" hidden="1">
      <c r="X610" s="94"/>
      <c r="Y610" s="94"/>
      <c r="Z610" s="95"/>
      <c r="AB610" s="94"/>
      <c r="AF610" s="94"/>
      <c r="AG610" s="94"/>
      <c r="AH610" s="94"/>
      <c r="AI610" s="94"/>
      <c r="AJ610" s="94"/>
      <c r="AK610" s="94"/>
      <c r="AL610" s="94"/>
      <c r="AM610" s="94"/>
      <c r="AN610" s="94"/>
      <c r="AO610" s="94"/>
    </row>
    <row r="611" spans="23:41" hidden="1">
      <c r="X611" s="94"/>
      <c r="Y611" s="94"/>
      <c r="Z611" s="95"/>
      <c r="AB611" s="94"/>
      <c r="AF611" s="94"/>
      <c r="AG611" s="94"/>
      <c r="AH611" s="94"/>
      <c r="AI611" s="94"/>
      <c r="AJ611" s="94"/>
      <c r="AK611" s="94"/>
      <c r="AL611" s="94"/>
      <c r="AM611" s="94"/>
      <c r="AN611" s="94"/>
      <c r="AO611" s="94"/>
    </row>
    <row r="612" spans="23:41" hidden="1">
      <c r="X612" s="94"/>
      <c r="Y612" s="94"/>
      <c r="Z612" s="95"/>
      <c r="AB612" s="94"/>
      <c r="AF612" s="94"/>
      <c r="AG612" s="94"/>
      <c r="AH612" s="94"/>
      <c r="AI612" s="94"/>
      <c r="AJ612" s="94"/>
      <c r="AK612" s="94"/>
      <c r="AL612" s="94"/>
      <c r="AM612" s="94"/>
      <c r="AN612" s="94"/>
      <c r="AO612" s="94"/>
    </row>
    <row r="613" spans="23:41">
      <c r="X613" s="94"/>
      <c r="Y613" s="94"/>
      <c r="Z613" s="95"/>
      <c r="AB613" s="94"/>
    </row>
    <row r="614" spans="23:41">
      <c r="X614" s="94"/>
      <c r="Y614" s="94"/>
      <c r="Z614" s="95"/>
      <c r="AB614" s="94"/>
      <c r="AE614" s="94"/>
      <c r="AF614" s="94"/>
      <c r="AG614" s="94"/>
      <c r="AH614" s="94"/>
      <c r="AI614" s="94"/>
      <c r="AJ614" s="94"/>
      <c r="AK614" s="94"/>
      <c r="AL614" s="94"/>
      <c r="AM614" s="94"/>
      <c r="AN614" s="94"/>
      <c r="AO614" s="94"/>
    </row>
    <row r="615" spans="23:41">
      <c r="X615" s="94"/>
      <c r="Y615" s="94"/>
      <c r="Z615" s="95"/>
      <c r="AB615" s="94"/>
    </row>
    <row r="616" spans="23:41">
      <c r="X616" s="94"/>
      <c r="Y616" s="94"/>
      <c r="Z616" s="95"/>
      <c r="AB616" s="94"/>
    </row>
    <row r="617" spans="23:41">
      <c r="X617" s="94"/>
      <c r="Y617" s="94"/>
      <c r="Z617" s="95"/>
      <c r="AB617" s="94"/>
    </row>
    <row r="618" spans="23:41">
      <c r="W618" s="91"/>
    </row>
    <row r="620" spans="23:41">
      <c r="W620" s="36"/>
      <c r="X620" s="36"/>
      <c r="Y620" s="36"/>
      <c r="Z620" s="36"/>
      <c r="AA620" s="36"/>
      <c r="AB620" s="36"/>
    </row>
    <row r="622" spans="23:41">
      <c r="X622" s="96"/>
      <c r="Y622" s="96"/>
      <c r="Z622" s="95"/>
      <c r="AB622" s="94"/>
    </row>
    <row r="623" spans="23:41">
      <c r="X623" s="96"/>
      <c r="Y623" s="96"/>
      <c r="Z623" s="95"/>
      <c r="AB623" s="94"/>
    </row>
    <row r="624" spans="23:41">
      <c r="X624" s="96"/>
      <c r="Y624" s="96"/>
      <c r="Z624" s="95"/>
      <c r="AB624" s="94"/>
    </row>
    <row r="625" spans="24:28">
      <c r="X625" s="96"/>
      <c r="Y625" s="96"/>
      <c r="Z625" s="95"/>
      <c r="AB625" s="94"/>
    </row>
    <row r="626" spans="24:28">
      <c r="X626" s="96"/>
      <c r="Y626" s="96"/>
      <c r="Z626" s="95"/>
      <c r="AB626" s="94"/>
    </row>
    <row r="627" spans="24:28">
      <c r="X627" s="96"/>
      <c r="Y627" s="96"/>
      <c r="Z627" s="95"/>
      <c r="AB627" s="94"/>
    </row>
    <row r="628" spans="24:28">
      <c r="X628" s="96"/>
      <c r="Y628" s="96"/>
      <c r="Z628" s="95"/>
      <c r="AB628" s="94"/>
    </row>
    <row r="629" spans="24:28">
      <c r="X629" s="96"/>
      <c r="Y629" s="96"/>
      <c r="Z629" s="95"/>
      <c r="AB629" s="94"/>
    </row>
    <row r="630" spans="24:28">
      <c r="X630" s="96"/>
      <c r="Y630" s="96"/>
      <c r="Z630" s="95"/>
      <c r="AB630" s="94"/>
    </row>
    <row r="631" spans="24:28">
      <c r="X631" s="96"/>
      <c r="Y631" s="96"/>
      <c r="Z631" s="95"/>
      <c r="AB631" s="94"/>
    </row>
    <row r="632" spans="24:28">
      <c r="X632" s="96"/>
      <c r="Y632" s="96"/>
      <c r="Z632" s="95"/>
      <c r="AB632" s="94"/>
    </row>
    <row r="633" spans="24:28">
      <c r="X633" s="96"/>
      <c r="Y633" s="96"/>
      <c r="Z633" s="95"/>
      <c r="AB633" s="94"/>
    </row>
    <row r="634" spans="24:28">
      <c r="X634" s="96"/>
      <c r="Y634" s="96"/>
      <c r="Z634" s="95"/>
      <c r="AB634" s="94"/>
    </row>
    <row r="635" spans="24:28" hidden="1">
      <c r="X635" s="96"/>
      <c r="Y635" s="96"/>
      <c r="Z635" s="95"/>
      <c r="AB635" s="94"/>
    </row>
    <row r="636" spans="24:28" hidden="1">
      <c r="X636" s="96"/>
      <c r="Y636" s="96"/>
      <c r="Z636" s="95"/>
      <c r="AB636" s="94"/>
    </row>
    <row r="637" spans="24:28" hidden="1">
      <c r="X637" s="96"/>
      <c r="Y637" s="96"/>
      <c r="Z637" s="95"/>
      <c r="AB637" s="94"/>
    </row>
    <row r="638" spans="24:28" hidden="1">
      <c r="X638" s="96"/>
      <c r="Y638" s="96"/>
      <c r="Z638" s="95"/>
      <c r="AB638" s="94"/>
    </row>
    <row r="639" spans="24:28" hidden="1">
      <c r="X639" s="96"/>
      <c r="Y639" s="96"/>
      <c r="Z639" s="95"/>
      <c r="AB639" s="94"/>
    </row>
    <row r="640" spans="24:28" hidden="1">
      <c r="X640" s="96"/>
      <c r="Y640" s="96"/>
      <c r="Z640" s="95"/>
      <c r="AB640" s="94"/>
    </row>
    <row r="641" spans="24:28" hidden="1">
      <c r="X641" s="96"/>
      <c r="Y641" s="96"/>
      <c r="Z641" s="95"/>
      <c r="AB641" s="94"/>
    </row>
    <row r="642" spans="24:28" hidden="1">
      <c r="X642" s="96"/>
      <c r="Y642" s="96"/>
      <c r="Z642" s="95"/>
      <c r="AB642" s="94"/>
    </row>
    <row r="643" spans="24:28" hidden="1">
      <c r="X643" s="96"/>
      <c r="Y643" s="96"/>
      <c r="Z643" s="95"/>
      <c r="AB643" s="94"/>
    </row>
    <row r="644" spans="24:28" hidden="1">
      <c r="X644" s="96"/>
      <c r="Y644" s="96"/>
      <c r="Z644" s="95"/>
      <c r="AB644" s="94"/>
    </row>
    <row r="645" spans="24:28" hidden="1">
      <c r="X645" s="96"/>
      <c r="Y645" s="96"/>
      <c r="Z645" s="95"/>
      <c r="AB645" s="94"/>
    </row>
    <row r="646" spans="24:28" hidden="1">
      <c r="X646" s="96"/>
      <c r="Y646" s="96"/>
      <c r="Z646" s="95"/>
      <c r="AB646" s="94"/>
    </row>
    <row r="647" spans="24:28" hidden="1">
      <c r="X647" s="96"/>
      <c r="Y647" s="96"/>
      <c r="Z647" s="95"/>
      <c r="AB647" s="94"/>
    </row>
    <row r="648" spans="24:28" hidden="1">
      <c r="X648" s="96"/>
      <c r="Y648" s="96"/>
      <c r="Z648" s="95"/>
      <c r="AB648" s="94"/>
    </row>
    <row r="649" spans="24:28" hidden="1">
      <c r="X649" s="96"/>
      <c r="Y649" s="96"/>
      <c r="Z649" s="95"/>
      <c r="AB649" s="94"/>
    </row>
    <row r="650" spans="24:28" hidden="1">
      <c r="X650" s="96"/>
      <c r="Y650" s="96"/>
      <c r="Z650" s="95"/>
      <c r="AB650" s="94"/>
    </row>
    <row r="651" spans="24:28" hidden="1">
      <c r="X651" s="96"/>
      <c r="Y651" s="96"/>
      <c r="Z651" s="95"/>
      <c r="AB651" s="94"/>
    </row>
    <row r="652" spans="24:28" hidden="1">
      <c r="X652" s="96"/>
      <c r="Y652" s="96"/>
      <c r="Z652" s="95"/>
      <c r="AB652" s="94"/>
    </row>
    <row r="653" spans="24:28" hidden="1">
      <c r="X653" s="96"/>
      <c r="Y653" s="96"/>
      <c r="Z653" s="95"/>
      <c r="AB653" s="94"/>
    </row>
    <row r="654" spans="24:28" hidden="1">
      <c r="X654" s="96"/>
      <c r="Y654" s="96"/>
      <c r="Z654" s="95"/>
      <c r="AB654" s="94"/>
    </row>
    <row r="655" spans="24:28" hidden="1">
      <c r="X655" s="96"/>
      <c r="Y655" s="96"/>
      <c r="Z655" s="95"/>
      <c r="AB655" s="94"/>
    </row>
    <row r="656" spans="24:28" hidden="1">
      <c r="X656" s="96"/>
      <c r="Y656" s="96"/>
      <c r="Z656" s="95"/>
      <c r="AB656" s="94"/>
    </row>
    <row r="657" spans="24:28" hidden="1">
      <c r="X657" s="96"/>
      <c r="Y657" s="96"/>
      <c r="Z657" s="95"/>
      <c r="AB657" s="94"/>
    </row>
    <row r="658" spans="24:28" hidden="1">
      <c r="X658" s="96"/>
      <c r="Y658" s="96"/>
      <c r="Z658" s="95"/>
      <c r="AB658" s="94"/>
    </row>
    <row r="659" spans="24:28" hidden="1">
      <c r="X659" s="96"/>
      <c r="Y659" s="96"/>
      <c r="Z659" s="95"/>
      <c r="AB659" s="94"/>
    </row>
    <row r="660" spans="24:28" hidden="1">
      <c r="X660" s="96"/>
      <c r="Y660" s="96"/>
      <c r="Z660" s="95"/>
      <c r="AB660" s="94"/>
    </row>
    <row r="661" spans="24:28" hidden="1">
      <c r="X661" s="96"/>
      <c r="Y661" s="96"/>
      <c r="Z661" s="95"/>
      <c r="AB661" s="94"/>
    </row>
    <row r="662" spans="24:28" hidden="1">
      <c r="X662" s="96"/>
      <c r="Y662" s="96"/>
      <c r="Z662" s="95"/>
      <c r="AB662" s="94"/>
    </row>
    <row r="663" spans="24:28" hidden="1">
      <c r="X663" s="96"/>
      <c r="Y663" s="96"/>
      <c r="Z663" s="95"/>
      <c r="AB663" s="94"/>
    </row>
    <row r="664" spans="24:28" hidden="1">
      <c r="X664" s="96"/>
      <c r="Y664" s="96"/>
      <c r="Z664" s="95"/>
      <c r="AB664" s="94"/>
    </row>
    <row r="665" spans="24:28" hidden="1">
      <c r="X665" s="96"/>
      <c r="Y665" s="96"/>
      <c r="Z665" s="95"/>
      <c r="AB665" s="94"/>
    </row>
    <row r="666" spans="24:28" hidden="1">
      <c r="X666" s="96"/>
      <c r="Y666" s="96"/>
      <c r="Z666" s="95"/>
      <c r="AB666" s="94"/>
    </row>
    <row r="667" spans="24:28" hidden="1">
      <c r="X667" s="96"/>
      <c r="Y667" s="96"/>
      <c r="Z667" s="95"/>
      <c r="AB667" s="94"/>
    </row>
    <row r="668" spans="24:28" hidden="1">
      <c r="X668" s="96"/>
      <c r="Y668" s="96"/>
      <c r="Z668" s="95"/>
      <c r="AB668" s="94"/>
    </row>
    <row r="669" spans="24:28" hidden="1">
      <c r="X669" s="96"/>
      <c r="Y669" s="96"/>
      <c r="Z669" s="95"/>
      <c r="AB669" s="94"/>
    </row>
    <row r="670" spans="24:28" hidden="1">
      <c r="X670" s="96"/>
      <c r="Y670" s="96"/>
      <c r="Z670" s="95"/>
      <c r="AB670" s="94"/>
    </row>
    <row r="671" spans="24:28" hidden="1">
      <c r="X671" s="96"/>
      <c r="Y671" s="96"/>
      <c r="Z671" s="95"/>
      <c r="AB671" s="94"/>
    </row>
    <row r="672" spans="24:28" hidden="1">
      <c r="X672" s="96"/>
      <c r="Y672" s="96"/>
      <c r="Z672" s="95"/>
      <c r="AB672" s="94"/>
    </row>
    <row r="673" spans="24:28" hidden="1">
      <c r="X673" s="96"/>
      <c r="Y673" s="96"/>
      <c r="Z673" s="95"/>
      <c r="AB673" s="94"/>
    </row>
    <row r="674" spans="24:28" hidden="1">
      <c r="X674" s="96"/>
      <c r="Y674" s="96"/>
      <c r="Z674" s="95"/>
      <c r="AB674" s="94"/>
    </row>
    <row r="675" spans="24:28" hidden="1">
      <c r="X675" s="96"/>
      <c r="Y675" s="96"/>
      <c r="Z675" s="95"/>
      <c r="AB675" s="94"/>
    </row>
    <row r="676" spans="24:28" hidden="1">
      <c r="X676" s="96"/>
      <c r="Y676" s="96"/>
      <c r="Z676" s="95"/>
      <c r="AB676" s="94"/>
    </row>
    <row r="677" spans="24:28" hidden="1">
      <c r="X677" s="96"/>
      <c r="Y677" s="96"/>
      <c r="Z677" s="95"/>
      <c r="AB677" s="94"/>
    </row>
    <row r="678" spans="24:28" hidden="1">
      <c r="X678" s="96"/>
      <c r="Y678" s="96"/>
      <c r="Z678" s="95"/>
      <c r="AB678" s="94"/>
    </row>
    <row r="679" spans="24:28" hidden="1">
      <c r="X679" s="96"/>
      <c r="Y679" s="96"/>
      <c r="Z679" s="95"/>
      <c r="AB679" s="94"/>
    </row>
    <row r="680" spans="24:28" hidden="1">
      <c r="X680" s="96"/>
      <c r="Y680" s="96"/>
      <c r="Z680" s="95"/>
      <c r="AB680" s="94"/>
    </row>
    <row r="681" spans="24:28" hidden="1">
      <c r="X681" s="96"/>
      <c r="Y681" s="96"/>
      <c r="Z681" s="95"/>
      <c r="AB681" s="94"/>
    </row>
    <row r="682" spans="24:28" hidden="1">
      <c r="X682" s="96"/>
      <c r="Y682" s="96"/>
      <c r="Z682" s="95"/>
      <c r="AB682" s="94"/>
    </row>
    <row r="683" spans="24:28" hidden="1">
      <c r="X683" s="96"/>
      <c r="Y683" s="96"/>
      <c r="Z683" s="95"/>
      <c r="AB683" s="94"/>
    </row>
    <row r="684" spans="24:28" hidden="1">
      <c r="X684" s="96"/>
      <c r="Y684" s="96"/>
      <c r="Z684" s="95"/>
      <c r="AB684" s="94"/>
    </row>
    <row r="685" spans="24:28" hidden="1">
      <c r="X685" s="96"/>
      <c r="Y685" s="96"/>
      <c r="Z685" s="95"/>
      <c r="AB685" s="94"/>
    </row>
    <row r="686" spans="24:28" hidden="1">
      <c r="X686" s="96"/>
      <c r="Y686" s="96"/>
      <c r="Z686" s="95"/>
      <c r="AB686" s="94"/>
    </row>
    <row r="687" spans="24:28" hidden="1">
      <c r="X687" s="96"/>
      <c r="Y687" s="96"/>
      <c r="Z687" s="95"/>
      <c r="AB687" s="94"/>
    </row>
    <row r="688" spans="24:28" hidden="1">
      <c r="X688" s="96"/>
      <c r="Y688" s="96"/>
      <c r="Z688" s="95"/>
      <c r="AB688" s="94"/>
    </row>
    <row r="689" spans="24:28" hidden="1">
      <c r="X689" s="96"/>
      <c r="Y689" s="96"/>
      <c r="Z689" s="95"/>
      <c r="AB689" s="94"/>
    </row>
    <row r="690" spans="24:28" hidden="1">
      <c r="X690" s="96"/>
      <c r="Y690" s="96"/>
      <c r="Z690" s="95"/>
      <c r="AB690" s="94"/>
    </row>
    <row r="691" spans="24:28" hidden="1">
      <c r="X691" s="96"/>
      <c r="Y691" s="96"/>
      <c r="Z691" s="95"/>
      <c r="AB691" s="94"/>
    </row>
    <row r="692" spans="24:28" hidden="1">
      <c r="X692" s="96"/>
      <c r="Y692" s="96"/>
      <c r="Z692" s="95"/>
      <c r="AB692" s="94"/>
    </row>
    <row r="693" spans="24:28" hidden="1">
      <c r="X693" s="96"/>
      <c r="Y693" s="96"/>
      <c r="Z693" s="95"/>
      <c r="AB693" s="94"/>
    </row>
    <row r="694" spans="24:28" hidden="1">
      <c r="X694" s="96"/>
      <c r="Y694" s="96"/>
      <c r="Z694" s="95"/>
      <c r="AB694" s="94"/>
    </row>
    <row r="695" spans="24:28" hidden="1">
      <c r="X695" s="96"/>
      <c r="Y695" s="96"/>
      <c r="Z695" s="95"/>
      <c r="AB695" s="94"/>
    </row>
    <row r="696" spans="24:28" hidden="1">
      <c r="X696" s="96"/>
      <c r="Y696" s="96"/>
      <c r="Z696" s="95"/>
      <c r="AB696" s="94"/>
    </row>
    <row r="697" spans="24:28" hidden="1">
      <c r="X697" s="96"/>
      <c r="Y697" s="96"/>
      <c r="Z697" s="95"/>
      <c r="AB697" s="94"/>
    </row>
    <row r="698" spans="24:28" hidden="1">
      <c r="X698" s="96"/>
      <c r="Y698" s="96"/>
      <c r="Z698" s="95"/>
      <c r="AB698" s="94"/>
    </row>
    <row r="699" spans="24:28" hidden="1">
      <c r="X699" s="96"/>
      <c r="Y699" s="96"/>
      <c r="Z699" s="95"/>
      <c r="AB699" s="94"/>
    </row>
    <row r="700" spans="24:28" hidden="1">
      <c r="X700" s="96"/>
      <c r="Y700" s="96"/>
      <c r="Z700" s="95"/>
      <c r="AB700" s="94"/>
    </row>
    <row r="701" spans="24:28" hidden="1">
      <c r="X701" s="96"/>
      <c r="Y701" s="96"/>
      <c r="Z701" s="95"/>
      <c r="AB701" s="94"/>
    </row>
    <row r="702" spans="24:28" hidden="1">
      <c r="X702" s="96"/>
      <c r="Y702" s="96"/>
      <c r="Z702" s="95"/>
      <c r="AB702" s="94"/>
    </row>
    <row r="703" spans="24:28" hidden="1">
      <c r="X703" s="96"/>
      <c r="Y703" s="96"/>
      <c r="Z703" s="95"/>
      <c r="AB703" s="94"/>
    </row>
    <row r="704" spans="24:28" hidden="1">
      <c r="X704" s="96"/>
      <c r="Y704" s="96"/>
      <c r="Z704" s="95"/>
      <c r="AB704" s="94"/>
    </row>
    <row r="705" spans="24:28" hidden="1">
      <c r="X705" s="96"/>
      <c r="Y705" s="96"/>
      <c r="Z705" s="95"/>
      <c r="AB705" s="94"/>
    </row>
    <row r="706" spans="24:28" hidden="1">
      <c r="X706" s="96"/>
      <c r="Y706" s="96"/>
      <c r="Z706" s="95"/>
      <c r="AB706" s="94"/>
    </row>
    <row r="707" spans="24:28" hidden="1">
      <c r="X707" s="96"/>
      <c r="Y707" s="96"/>
      <c r="Z707" s="95"/>
      <c r="AB707" s="94"/>
    </row>
    <row r="708" spans="24:28" hidden="1">
      <c r="X708" s="96"/>
      <c r="Y708" s="96"/>
      <c r="Z708" s="95"/>
      <c r="AB708" s="94"/>
    </row>
    <row r="709" spans="24:28" hidden="1">
      <c r="X709" s="96"/>
      <c r="Y709" s="96"/>
      <c r="Z709" s="95"/>
      <c r="AB709" s="94"/>
    </row>
    <row r="710" spans="24:28" hidden="1">
      <c r="X710" s="96"/>
      <c r="Y710" s="96"/>
      <c r="Z710" s="95"/>
      <c r="AB710" s="94"/>
    </row>
    <row r="711" spans="24:28" hidden="1">
      <c r="X711" s="96"/>
      <c r="Y711" s="96"/>
      <c r="Z711" s="95"/>
      <c r="AB711" s="94"/>
    </row>
    <row r="712" spans="24:28" hidden="1">
      <c r="X712" s="96"/>
      <c r="Y712" s="96"/>
      <c r="Z712" s="95"/>
      <c r="AB712" s="94"/>
    </row>
    <row r="713" spans="24:28" hidden="1">
      <c r="X713" s="96"/>
      <c r="Y713" s="96"/>
      <c r="Z713" s="95"/>
      <c r="AB713" s="94"/>
    </row>
    <row r="714" spans="24:28" hidden="1">
      <c r="X714" s="96"/>
      <c r="Y714" s="96"/>
      <c r="Z714" s="95"/>
      <c r="AB714" s="94"/>
    </row>
    <row r="715" spans="24:28" hidden="1">
      <c r="X715" s="96"/>
      <c r="Y715" s="96"/>
      <c r="Z715" s="95"/>
      <c r="AB715" s="94"/>
    </row>
    <row r="716" spans="24:28" hidden="1">
      <c r="X716" s="96"/>
      <c r="Y716" s="96"/>
      <c r="Z716" s="95"/>
      <c r="AB716" s="94"/>
    </row>
    <row r="717" spans="24:28" hidden="1">
      <c r="X717" s="96"/>
      <c r="Y717" s="96"/>
      <c r="Z717" s="95"/>
      <c r="AB717" s="94"/>
    </row>
    <row r="718" spans="24:28" hidden="1">
      <c r="X718" s="96"/>
      <c r="Y718" s="96"/>
      <c r="Z718" s="95"/>
      <c r="AB718" s="94"/>
    </row>
    <row r="719" spans="24:28" hidden="1">
      <c r="X719" s="96"/>
      <c r="Y719" s="96"/>
      <c r="Z719" s="95"/>
      <c r="AB719" s="94"/>
    </row>
    <row r="720" spans="24:28" hidden="1">
      <c r="X720" s="96"/>
      <c r="Y720" s="96"/>
      <c r="Z720" s="95"/>
      <c r="AB720" s="94"/>
    </row>
    <row r="721" spans="24:28" hidden="1">
      <c r="X721" s="96"/>
      <c r="Y721" s="96"/>
      <c r="Z721" s="95"/>
      <c r="AB721" s="94"/>
    </row>
    <row r="722" spans="24:28" hidden="1">
      <c r="X722" s="96"/>
      <c r="Y722" s="96"/>
      <c r="Z722" s="95"/>
      <c r="AB722" s="94"/>
    </row>
    <row r="723" spans="24:28" hidden="1">
      <c r="X723" s="96"/>
      <c r="Y723" s="96"/>
      <c r="Z723" s="95"/>
      <c r="AB723" s="94"/>
    </row>
    <row r="724" spans="24:28" hidden="1">
      <c r="X724" s="96"/>
      <c r="Y724" s="96"/>
      <c r="Z724" s="95"/>
      <c r="AB724" s="94"/>
    </row>
    <row r="725" spans="24:28" hidden="1">
      <c r="X725" s="96"/>
      <c r="Y725" s="96"/>
      <c r="Z725" s="95"/>
      <c r="AB725" s="94"/>
    </row>
    <row r="726" spans="24:28" hidden="1">
      <c r="X726" s="96"/>
      <c r="Y726" s="96"/>
      <c r="Z726" s="95"/>
      <c r="AB726" s="94"/>
    </row>
    <row r="727" spans="24:28" hidden="1">
      <c r="X727" s="96"/>
      <c r="Y727" s="96"/>
      <c r="Z727" s="95"/>
      <c r="AB727" s="94"/>
    </row>
    <row r="728" spans="24:28" hidden="1">
      <c r="X728" s="96"/>
      <c r="Y728" s="96"/>
      <c r="Z728" s="95"/>
      <c r="AB728" s="94"/>
    </row>
    <row r="729" spans="24:28" hidden="1">
      <c r="X729" s="96"/>
      <c r="Y729" s="96"/>
      <c r="Z729" s="95"/>
      <c r="AB729" s="94"/>
    </row>
    <row r="730" spans="24:28" hidden="1">
      <c r="X730" s="96"/>
      <c r="Y730" s="96"/>
      <c r="Z730" s="95"/>
      <c r="AB730" s="94"/>
    </row>
    <row r="731" spans="24:28" hidden="1">
      <c r="X731" s="96"/>
      <c r="Y731" s="96"/>
      <c r="Z731" s="95"/>
      <c r="AB731" s="94"/>
    </row>
    <row r="732" spans="24:28" hidden="1">
      <c r="X732" s="96"/>
      <c r="Y732" s="96"/>
      <c r="Z732" s="95"/>
      <c r="AB732" s="94"/>
    </row>
    <row r="733" spans="24:28" hidden="1">
      <c r="X733" s="96"/>
      <c r="Y733" s="96"/>
      <c r="Z733" s="95"/>
      <c r="AB733" s="94"/>
    </row>
    <row r="734" spans="24:28" hidden="1">
      <c r="X734" s="96"/>
      <c r="Y734" s="96"/>
      <c r="Z734" s="95"/>
      <c r="AB734" s="94"/>
    </row>
    <row r="735" spans="24:28" hidden="1">
      <c r="X735" s="96"/>
      <c r="Y735" s="96"/>
      <c r="Z735" s="95"/>
      <c r="AB735" s="94"/>
    </row>
    <row r="736" spans="24:28" hidden="1">
      <c r="X736" s="96"/>
      <c r="Y736" s="96"/>
      <c r="Z736" s="95"/>
      <c r="AB736" s="94"/>
    </row>
    <row r="737" spans="23:41" hidden="1">
      <c r="X737" s="96"/>
      <c r="Y737" s="96"/>
      <c r="Z737" s="95"/>
      <c r="AB737" s="94"/>
    </row>
    <row r="738" spans="23:41" hidden="1">
      <c r="X738" s="96"/>
      <c r="Y738" s="96"/>
      <c r="Z738" s="95"/>
      <c r="AB738" s="94"/>
    </row>
    <row r="739" spans="23:41" hidden="1">
      <c r="X739" s="96"/>
      <c r="Y739" s="96"/>
      <c r="Z739" s="95"/>
      <c r="AB739" s="94"/>
    </row>
    <row r="740" spans="23:41" hidden="1">
      <c r="X740" s="96"/>
      <c r="Y740" s="96"/>
      <c r="Z740" s="95"/>
      <c r="AB740" s="94"/>
    </row>
    <row r="741" spans="23:41" hidden="1">
      <c r="X741" s="96"/>
      <c r="Y741" s="96"/>
      <c r="Z741" s="95"/>
      <c r="AB741" s="94"/>
    </row>
    <row r="742" spans="23:41" hidden="1"/>
    <row r="743" spans="23:41" hidden="1"/>
    <row r="744" spans="23:41" hidden="1">
      <c r="X744" s="35"/>
    </row>
    <row r="745" spans="23:41" hidden="1">
      <c r="X745" s="35"/>
    </row>
    <row r="746" spans="23:41" hidden="1">
      <c r="X746" s="92"/>
    </row>
    <row r="747" spans="23:41" hidden="1">
      <c r="X747" s="92"/>
    </row>
    <row r="748" spans="23:41" hidden="1"/>
    <row r="749" spans="23:41" hidden="1">
      <c r="AF749" s="36"/>
      <c r="AG749" s="36"/>
      <c r="AH749" s="36"/>
      <c r="AI749" s="36"/>
      <c r="AJ749" s="36"/>
      <c r="AK749" s="36"/>
      <c r="AL749" s="36"/>
      <c r="AM749" s="36"/>
      <c r="AN749" s="36"/>
      <c r="AO749" s="36"/>
    </row>
    <row r="750" spans="23:41" hidden="1">
      <c r="W750" s="36"/>
      <c r="X750" s="36"/>
      <c r="Y750" s="36"/>
      <c r="Z750" s="36"/>
      <c r="AA750" s="36"/>
      <c r="AB750" s="36"/>
      <c r="AE750" s="89"/>
      <c r="AF750" s="93"/>
      <c r="AG750" s="93"/>
      <c r="AH750" s="93"/>
      <c r="AI750" s="93"/>
      <c r="AJ750" s="93"/>
      <c r="AK750" s="93"/>
      <c r="AL750" s="93"/>
      <c r="AM750" s="93"/>
      <c r="AN750" s="93"/>
      <c r="AO750" s="93"/>
    </row>
    <row r="751" spans="23:41" hidden="1"/>
    <row r="752" spans="23:41" hidden="1">
      <c r="X752" s="94"/>
      <c r="Y752" s="94"/>
      <c r="Z752" s="95"/>
      <c r="AB752" s="94"/>
      <c r="AE752" s="94"/>
    </row>
    <row r="753" spans="23:41" hidden="1">
      <c r="X753" s="94"/>
      <c r="Y753" s="94"/>
      <c r="Z753" s="95"/>
      <c r="AB753" s="94"/>
      <c r="AE753" s="94"/>
    </row>
    <row r="754" spans="23:41" hidden="1">
      <c r="X754" s="94"/>
      <c r="Y754" s="94"/>
      <c r="Z754" s="95"/>
      <c r="AB754" s="94"/>
      <c r="AF754" s="94"/>
      <c r="AG754" s="94"/>
      <c r="AH754" s="94"/>
      <c r="AI754" s="94"/>
      <c r="AJ754" s="94"/>
      <c r="AK754" s="94"/>
      <c r="AL754" s="94"/>
      <c r="AM754" s="94"/>
      <c r="AN754" s="94"/>
      <c r="AO754" s="94"/>
    </row>
    <row r="755" spans="23:41" hidden="1">
      <c r="X755" s="94"/>
      <c r="Y755" s="94"/>
      <c r="Z755" s="95"/>
      <c r="AB755" s="94"/>
      <c r="AF755" s="94"/>
      <c r="AG755" s="94"/>
      <c r="AH755" s="94"/>
      <c r="AI755" s="94"/>
      <c r="AJ755" s="94"/>
      <c r="AK755" s="94"/>
      <c r="AL755" s="94"/>
      <c r="AM755" s="94"/>
      <c r="AN755" s="94"/>
      <c r="AO755" s="94"/>
    </row>
    <row r="756" spans="23:41" hidden="1">
      <c r="X756" s="94"/>
      <c r="Y756" s="94"/>
      <c r="Z756" s="95"/>
      <c r="AB756" s="94"/>
      <c r="AF756" s="94"/>
      <c r="AG756" s="94"/>
      <c r="AH756" s="94"/>
      <c r="AI756" s="94"/>
      <c r="AJ756" s="94"/>
      <c r="AK756" s="94"/>
      <c r="AL756" s="94"/>
      <c r="AM756" s="94"/>
      <c r="AN756" s="94"/>
      <c r="AO756" s="94"/>
    </row>
    <row r="757" spans="23:41">
      <c r="X757" s="94"/>
      <c r="Y757" s="94"/>
      <c r="Z757" s="95"/>
      <c r="AB757" s="94"/>
    </row>
    <row r="758" spans="23:41">
      <c r="X758" s="94"/>
      <c r="Y758" s="94"/>
      <c r="Z758" s="95"/>
      <c r="AB758" s="94"/>
      <c r="AE758" s="94"/>
      <c r="AF758" s="94"/>
      <c r="AG758" s="94"/>
      <c r="AH758" s="94"/>
      <c r="AI758" s="94"/>
      <c r="AJ758" s="94"/>
      <c r="AK758" s="94"/>
      <c r="AL758" s="94"/>
      <c r="AM758" s="94"/>
      <c r="AN758" s="94"/>
      <c r="AO758" s="94"/>
    </row>
    <row r="759" spans="23:41">
      <c r="X759" s="94"/>
      <c r="Y759" s="94"/>
      <c r="Z759" s="95"/>
      <c r="AB759" s="94"/>
    </row>
    <row r="760" spans="23:41">
      <c r="X760" s="94"/>
      <c r="Y760" s="94"/>
      <c r="Z760" s="95"/>
      <c r="AB760" s="94"/>
    </row>
    <row r="761" spans="23:41">
      <c r="X761" s="94"/>
      <c r="Y761" s="94"/>
      <c r="Z761" s="95"/>
      <c r="AB761" s="94"/>
    </row>
    <row r="762" spans="23:41">
      <c r="W762" s="91"/>
    </row>
    <row r="764" spans="23:41">
      <c r="W764" s="36"/>
      <c r="X764" s="36"/>
      <c r="Y764" s="36"/>
      <c r="Z764" s="36"/>
      <c r="AA764" s="36"/>
      <c r="AB764" s="36"/>
    </row>
    <row r="766" spans="23:41">
      <c r="X766" s="96"/>
      <c r="Y766" s="96"/>
      <c r="Z766" s="95"/>
      <c r="AB766" s="94"/>
    </row>
    <row r="767" spans="23:41">
      <c r="X767" s="96"/>
      <c r="Y767" s="96"/>
      <c r="Z767" s="95"/>
      <c r="AB767" s="94"/>
    </row>
    <row r="768" spans="23:41">
      <c r="X768" s="96"/>
      <c r="Y768" s="96"/>
      <c r="Z768" s="95"/>
      <c r="AB768" s="94"/>
    </row>
    <row r="769" spans="24:28">
      <c r="X769" s="96"/>
      <c r="Y769" s="96"/>
      <c r="Z769" s="95"/>
      <c r="AB769" s="94"/>
    </row>
    <row r="770" spans="24:28">
      <c r="X770" s="96"/>
      <c r="Y770" s="96"/>
      <c r="Z770" s="95"/>
      <c r="AB770" s="94"/>
    </row>
    <row r="771" spans="24:28">
      <c r="X771" s="96"/>
      <c r="Y771" s="96"/>
      <c r="Z771" s="95"/>
      <c r="AB771" s="94"/>
    </row>
    <row r="772" spans="24:28">
      <c r="X772" s="96"/>
      <c r="Y772" s="96"/>
      <c r="Z772" s="95"/>
      <c r="AB772" s="94"/>
    </row>
    <row r="773" spans="24:28">
      <c r="X773" s="96"/>
      <c r="Y773" s="96"/>
      <c r="Z773" s="95"/>
      <c r="AB773" s="94"/>
    </row>
    <row r="774" spans="24:28">
      <c r="X774" s="96"/>
      <c r="Y774" s="96"/>
      <c r="Z774" s="95"/>
      <c r="AB774" s="94"/>
    </row>
    <row r="775" spans="24:28">
      <c r="X775" s="96"/>
      <c r="Y775" s="96"/>
      <c r="Z775" s="95"/>
      <c r="AB775" s="94"/>
    </row>
    <row r="776" spans="24:28">
      <c r="X776" s="96"/>
      <c r="Y776" s="96"/>
      <c r="Z776" s="95"/>
      <c r="AB776" s="94"/>
    </row>
    <row r="777" spans="24:28">
      <c r="X777" s="96"/>
      <c r="Y777" s="96"/>
      <c r="Z777" s="95"/>
      <c r="AB777" s="94"/>
    </row>
    <row r="778" spans="24:28">
      <c r="X778" s="96"/>
      <c r="Y778" s="96"/>
      <c r="Z778" s="95"/>
      <c r="AB778" s="94"/>
    </row>
    <row r="779" spans="24:28">
      <c r="X779" s="96"/>
      <c r="Y779" s="96"/>
      <c r="Z779" s="95"/>
      <c r="AB779" s="94"/>
    </row>
    <row r="780" spans="24:28">
      <c r="X780" s="96"/>
      <c r="Y780" s="96"/>
      <c r="Z780" s="95"/>
      <c r="AB780" s="94"/>
    </row>
    <row r="781" spans="24:28">
      <c r="X781" s="96"/>
      <c r="Y781" s="96"/>
      <c r="Z781" s="95"/>
      <c r="AB781" s="94"/>
    </row>
    <row r="782" spans="24:28">
      <c r="X782" s="96"/>
      <c r="Y782" s="96"/>
      <c r="Z782" s="95"/>
      <c r="AB782" s="94"/>
    </row>
    <row r="783" spans="24:28">
      <c r="X783" s="96"/>
      <c r="Y783" s="96"/>
      <c r="Z783" s="95"/>
      <c r="AB783" s="94"/>
    </row>
    <row r="784" spans="24:28">
      <c r="X784" s="96"/>
      <c r="Y784" s="96"/>
      <c r="Z784" s="95"/>
      <c r="AB784" s="94"/>
    </row>
    <row r="785" spans="24:28">
      <c r="X785" s="96"/>
      <c r="Y785" s="96"/>
      <c r="Z785" s="95"/>
      <c r="AB785" s="94"/>
    </row>
    <row r="786" spans="24:28">
      <c r="X786" s="96"/>
      <c r="Y786" s="96"/>
      <c r="Z786" s="95"/>
      <c r="AB786" s="94"/>
    </row>
    <row r="787" spans="24:28">
      <c r="X787" s="96"/>
      <c r="Y787" s="96"/>
      <c r="Z787" s="95"/>
      <c r="AB787" s="94"/>
    </row>
    <row r="788" spans="24:28">
      <c r="X788" s="96"/>
      <c r="Y788" s="96"/>
      <c r="Z788" s="95"/>
      <c r="AB788" s="94"/>
    </row>
    <row r="789" spans="24:28">
      <c r="X789" s="96"/>
      <c r="Y789" s="96"/>
      <c r="Z789" s="95"/>
      <c r="AB789" s="94"/>
    </row>
    <row r="790" spans="24:28">
      <c r="X790" s="96"/>
      <c r="Y790" s="96"/>
      <c r="Z790" s="95"/>
      <c r="AB790" s="94"/>
    </row>
    <row r="791" spans="24:28">
      <c r="X791" s="96"/>
      <c r="Y791" s="96"/>
      <c r="Z791" s="95"/>
      <c r="AB791" s="94"/>
    </row>
    <row r="792" spans="24:28">
      <c r="X792" s="96"/>
      <c r="Y792" s="96"/>
      <c r="Z792" s="95"/>
      <c r="AB792" s="94"/>
    </row>
    <row r="793" spans="24:28">
      <c r="X793" s="96"/>
      <c r="Y793" s="96"/>
      <c r="Z793" s="95"/>
      <c r="AB793" s="94"/>
    </row>
    <row r="794" spans="24:28">
      <c r="X794" s="96"/>
      <c r="Y794" s="96"/>
      <c r="Z794" s="95"/>
      <c r="AB794" s="94"/>
    </row>
    <row r="795" spans="24:28">
      <c r="X795" s="96"/>
      <c r="Y795" s="96"/>
      <c r="Z795" s="95"/>
      <c r="AB795" s="94"/>
    </row>
    <row r="796" spans="24:28">
      <c r="X796" s="96"/>
      <c r="Y796" s="96"/>
      <c r="Z796" s="95"/>
      <c r="AB796" s="94"/>
    </row>
    <row r="797" spans="24:28">
      <c r="X797" s="96"/>
      <c r="Y797" s="96"/>
      <c r="Z797" s="95"/>
      <c r="AB797" s="94"/>
    </row>
    <row r="798" spans="24:28">
      <c r="X798" s="96"/>
      <c r="Y798" s="96"/>
      <c r="Z798" s="95"/>
      <c r="AB798" s="94"/>
    </row>
    <row r="799" spans="24:28">
      <c r="X799" s="96"/>
      <c r="Y799" s="96"/>
      <c r="Z799" s="95"/>
      <c r="AB799" s="94"/>
    </row>
    <row r="800" spans="24:28">
      <c r="X800" s="96"/>
      <c r="Y800" s="96"/>
      <c r="Z800" s="95"/>
      <c r="AB800" s="94"/>
    </row>
    <row r="801" spans="24:28">
      <c r="X801" s="96"/>
      <c r="Y801" s="96"/>
      <c r="Z801" s="95"/>
      <c r="AB801" s="94"/>
    </row>
    <row r="802" spans="24:28">
      <c r="X802" s="96"/>
      <c r="Y802" s="96"/>
      <c r="Z802" s="95"/>
      <c r="AB802" s="94"/>
    </row>
    <row r="803" spans="24:28">
      <c r="X803" s="96"/>
      <c r="Y803" s="96"/>
      <c r="Z803" s="95"/>
      <c r="AB803" s="94"/>
    </row>
    <row r="804" spans="24:28">
      <c r="X804" s="96"/>
      <c r="Y804" s="96"/>
      <c r="Z804" s="95"/>
      <c r="AB804" s="94"/>
    </row>
    <row r="805" spans="24:28">
      <c r="X805" s="96"/>
      <c r="Y805" s="96"/>
      <c r="Z805" s="95"/>
      <c r="AB805" s="94"/>
    </row>
    <row r="806" spans="24:28">
      <c r="X806" s="96"/>
      <c r="Y806" s="96"/>
      <c r="Z806" s="95"/>
      <c r="AB806" s="94"/>
    </row>
    <row r="807" spans="24:28">
      <c r="X807" s="96"/>
      <c r="Y807" s="96"/>
      <c r="Z807" s="95"/>
      <c r="AB807" s="94"/>
    </row>
    <row r="808" spans="24:28">
      <c r="X808" s="96"/>
      <c r="Y808" s="96"/>
      <c r="Z808" s="95"/>
      <c r="AB808" s="94"/>
    </row>
    <row r="809" spans="24:28">
      <c r="X809" s="96"/>
      <c r="Y809" s="96"/>
      <c r="Z809" s="95"/>
      <c r="AB809" s="94"/>
    </row>
    <row r="810" spans="24:28">
      <c r="X810" s="96"/>
      <c r="Y810" s="96"/>
      <c r="Z810" s="95"/>
      <c r="AB810" s="94"/>
    </row>
    <row r="811" spans="24:28">
      <c r="X811" s="96"/>
      <c r="Y811" s="96"/>
      <c r="Z811" s="95"/>
      <c r="AB811" s="94"/>
    </row>
    <row r="812" spans="24:28">
      <c r="X812" s="96"/>
      <c r="Y812" s="96"/>
      <c r="Z812" s="95"/>
      <c r="AB812" s="94"/>
    </row>
    <row r="813" spans="24:28">
      <c r="X813" s="96"/>
      <c r="Y813" s="96"/>
      <c r="Z813" s="95"/>
      <c r="AB813" s="94"/>
    </row>
    <row r="814" spans="24:28">
      <c r="X814" s="96"/>
      <c r="Y814" s="96"/>
      <c r="Z814" s="95"/>
      <c r="AB814" s="94"/>
    </row>
    <row r="815" spans="24:28">
      <c r="X815" s="96"/>
      <c r="Y815" s="96"/>
      <c r="Z815" s="95"/>
      <c r="AB815" s="94"/>
    </row>
    <row r="816" spans="24:28">
      <c r="X816" s="96"/>
      <c r="Y816" s="96"/>
      <c r="Z816" s="95"/>
      <c r="AB816" s="94"/>
    </row>
    <row r="817" spans="24:28">
      <c r="X817" s="96"/>
      <c r="Y817" s="96"/>
      <c r="Z817" s="95"/>
      <c r="AB817" s="94"/>
    </row>
    <row r="818" spans="24:28">
      <c r="X818" s="96"/>
      <c r="Y818" s="96"/>
      <c r="Z818" s="95"/>
      <c r="AB818" s="94"/>
    </row>
    <row r="819" spans="24:28">
      <c r="X819" s="96"/>
      <c r="Y819" s="96"/>
      <c r="Z819" s="95"/>
      <c r="AB819" s="94"/>
    </row>
    <row r="820" spans="24:28">
      <c r="X820" s="96"/>
      <c r="Y820" s="96"/>
      <c r="Z820" s="95"/>
      <c r="AB820" s="94"/>
    </row>
    <row r="821" spans="24:28">
      <c r="X821" s="96"/>
      <c r="Y821" s="96"/>
      <c r="Z821" s="95"/>
      <c r="AB821" s="94"/>
    </row>
    <row r="822" spans="24:28">
      <c r="X822" s="96"/>
      <c r="Y822" s="96"/>
      <c r="Z822" s="95"/>
      <c r="AB822" s="94"/>
    </row>
    <row r="823" spans="24:28">
      <c r="X823" s="96"/>
      <c r="Y823" s="96"/>
      <c r="Z823" s="95"/>
      <c r="AB823" s="94"/>
    </row>
    <row r="824" spans="24:28">
      <c r="X824" s="96"/>
      <c r="Y824" s="96"/>
      <c r="Z824" s="95"/>
      <c r="AB824" s="94"/>
    </row>
    <row r="825" spans="24:28">
      <c r="X825" s="96"/>
      <c r="Y825" s="96"/>
      <c r="Z825" s="95"/>
      <c r="AB825" s="94"/>
    </row>
    <row r="826" spans="24:28">
      <c r="X826" s="96"/>
      <c r="Y826" s="96"/>
      <c r="Z826" s="95"/>
      <c r="AB826" s="94"/>
    </row>
    <row r="827" spans="24:28">
      <c r="X827" s="96"/>
      <c r="Y827" s="96"/>
      <c r="Z827" s="95"/>
      <c r="AB827" s="94"/>
    </row>
    <row r="828" spans="24:28">
      <c r="X828" s="96"/>
      <c r="Y828" s="96"/>
      <c r="Z828" s="95"/>
      <c r="AB828" s="94"/>
    </row>
    <row r="829" spans="24:28">
      <c r="X829" s="96"/>
      <c r="Y829" s="96"/>
      <c r="Z829" s="95"/>
      <c r="AB829" s="94"/>
    </row>
    <row r="830" spans="24:28">
      <c r="X830" s="96"/>
      <c r="Y830" s="96"/>
      <c r="Z830" s="95"/>
      <c r="AB830" s="94"/>
    </row>
    <row r="831" spans="24:28">
      <c r="X831" s="96"/>
      <c r="Y831" s="96"/>
      <c r="Z831" s="95"/>
      <c r="AB831" s="94"/>
    </row>
    <row r="832" spans="24:28">
      <c r="X832" s="96"/>
      <c r="Y832" s="96"/>
      <c r="Z832" s="95"/>
      <c r="AB832" s="94"/>
    </row>
    <row r="833" spans="24:28">
      <c r="X833" s="96"/>
      <c r="Y833" s="96"/>
      <c r="Z833" s="95"/>
      <c r="AB833" s="94"/>
    </row>
    <row r="834" spans="24:28">
      <c r="X834" s="96"/>
      <c r="Y834" s="96"/>
      <c r="Z834" s="95"/>
      <c r="AB834" s="94"/>
    </row>
    <row r="835" spans="24:28">
      <c r="X835" s="96"/>
      <c r="Y835" s="96"/>
      <c r="Z835" s="95"/>
      <c r="AB835" s="94"/>
    </row>
    <row r="836" spans="24:28">
      <c r="X836" s="96"/>
      <c r="Y836" s="96"/>
      <c r="Z836" s="95"/>
      <c r="AB836" s="94"/>
    </row>
    <row r="837" spans="24:28">
      <c r="X837" s="96"/>
      <c r="Y837" s="96"/>
      <c r="Z837" s="95"/>
      <c r="AB837" s="94"/>
    </row>
    <row r="838" spans="24:28">
      <c r="X838" s="96"/>
      <c r="Y838" s="96"/>
      <c r="Z838" s="95"/>
      <c r="AB838" s="94"/>
    </row>
    <row r="839" spans="24:28">
      <c r="X839" s="96"/>
      <c r="Y839" s="96"/>
      <c r="Z839" s="95"/>
      <c r="AB839" s="94"/>
    </row>
    <row r="840" spans="24:28">
      <c r="X840" s="96"/>
      <c r="Y840" s="96"/>
      <c r="Z840" s="95"/>
      <c r="AB840" s="94"/>
    </row>
    <row r="841" spans="24:28">
      <c r="X841" s="96"/>
      <c r="Y841" s="96"/>
      <c r="Z841" s="95"/>
      <c r="AB841" s="94"/>
    </row>
    <row r="842" spans="24:28">
      <c r="X842" s="96"/>
      <c r="Y842" s="96"/>
      <c r="Z842" s="95"/>
      <c r="AB842" s="94"/>
    </row>
    <row r="843" spans="24:28">
      <c r="X843" s="96"/>
      <c r="Y843" s="96"/>
      <c r="Z843" s="95"/>
      <c r="AB843" s="94"/>
    </row>
    <row r="844" spans="24:28">
      <c r="X844" s="96"/>
      <c r="Y844" s="96"/>
      <c r="Z844" s="95"/>
      <c r="AB844" s="94"/>
    </row>
    <row r="845" spans="24:28">
      <c r="X845" s="96"/>
      <c r="Y845" s="96"/>
      <c r="Z845" s="95"/>
      <c r="AB845" s="94"/>
    </row>
    <row r="846" spans="24:28">
      <c r="X846" s="96"/>
      <c r="Y846" s="96"/>
      <c r="Z846" s="95"/>
      <c r="AB846" s="94"/>
    </row>
    <row r="847" spans="24:28">
      <c r="X847" s="96"/>
      <c r="Y847" s="96"/>
      <c r="Z847" s="95"/>
      <c r="AB847" s="94"/>
    </row>
    <row r="848" spans="24:28">
      <c r="X848" s="96"/>
      <c r="Y848" s="96"/>
      <c r="Z848" s="95"/>
      <c r="AB848" s="94"/>
    </row>
    <row r="849" spans="24:28">
      <c r="X849" s="96"/>
      <c r="Y849" s="96"/>
      <c r="Z849" s="95"/>
      <c r="AB849" s="94"/>
    </row>
    <row r="850" spans="24:28">
      <c r="X850" s="96"/>
      <c r="Y850" s="96"/>
      <c r="Z850" s="95"/>
      <c r="AB850" s="94"/>
    </row>
    <row r="851" spans="24:28">
      <c r="X851" s="96"/>
      <c r="Y851" s="96"/>
      <c r="Z851" s="95"/>
      <c r="AB851" s="94"/>
    </row>
    <row r="852" spans="24:28">
      <c r="X852" s="96"/>
      <c r="Y852" s="96"/>
      <c r="Z852" s="95"/>
      <c r="AB852" s="94"/>
    </row>
    <row r="853" spans="24:28">
      <c r="X853" s="96"/>
      <c r="Y853" s="96"/>
      <c r="Z853" s="95"/>
      <c r="AB853" s="94"/>
    </row>
    <row r="854" spans="24:28">
      <c r="X854" s="96"/>
      <c r="Y854" s="96"/>
      <c r="Z854" s="95"/>
      <c r="AB854" s="94"/>
    </row>
    <row r="855" spans="24:28">
      <c r="X855" s="96"/>
      <c r="Y855" s="96"/>
      <c r="Z855" s="95"/>
      <c r="AB855" s="94"/>
    </row>
    <row r="856" spans="24:28">
      <c r="X856" s="96"/>
      <c r="Y856" s="96"/>
      <c r="Z856" s="95"/>
      <c r="AB856" s="94"/>
    </row>
    <row r="857" spans="24:28">
      <c r="X857" s="96"/>
      <c r="Y857" s="96"/>
      <c r="Z857" s="95"/>
      <c r="AB857" s="94"/>
    </row>
    <row r="858" spans="24:28">
      <c r="X858" s="96"/>
      <c r="Y858" s="96"/>
      <c r="Z858" s="95"/>
      <c r="AB858" s="94"/>
    </row>
    <row r="859" spans="24:28">
      <c r="X859" s="96"/>
      <c r="Y859" s="96"/>
      <c r="Z859" s="95"/>
      <c r="AB859" s="94"/>
    </row>
    <row r="860" spans="24:28">
      <c r="X860" s="96"/>
      <c r="Y860" s="96"/>
      <c r="Z860" s="95"/>
      <c r="AB860" s="94"/>
    </row>
    <row r="861" spans="24:28">
      <c r="X861" s="96"/>
      <c r="Y861" s="96"/>
      <c r="Z861" s="95"/>
      <c r="AB861" s="94"/>
    </row>
    <row r="862" spans="24:28">
      <c r="X862" s="96"/>
      <c r="Y862" s="96"/>
      <c r="Z862" s="95"/>
      <c r="AB862" s="94"/>
    </row>
    <row r="863" spans="24:28">
      <c r="X863" s="96"/>
      <c r="Y863" s="96"/>
      <c r="Z863" s="95"/>
      <c r="AB863" s="94"/>
    </row>
    <row r="864" spans="24:28">
      <c r="X864" s="96"/>
      <c r="Y864" s="96"/>
      <c r="Z864" s="95"/>
      <c r="AB864" s="94"/>
    </row>
    <row r="865" spans="24:28">
      <c r="X865" s="96"/>
      <c r="Y865" s="96"/>
      <c r="Z865" s="95"/>
      <c r="AB865" s="94"/>
    </row>
    <row r="866" spans="24:28">
      <c r="X866" s="96"/>
      <c r="Y866" s="96"/>
      <c r="Z866" s="95"/>
      <c r="AB866" s="94"/>
    </row>
    <row r="867" spans="24:28">
      <c r="X867" s="96"/>
      <c r="Y867" s="96"/>
      <c r="Z867" s="95"/>
      <c r="AB867" s="94"/>
    </row>
    <row r="868" spans="24:28">
      <c r="X868" s="96"/>
      <c r="Y868" s="96"/>
      <c r="Z868" s="95"/>
      <c r="AB868" s="94"/>
    </row>
    <row r="869" spans="24:28">
      <c r="X869" s="96"/>
      <c r="Y869" s="96"/>
      <c r="Z869" s="95"/>
      <c r="AB869" s="94"/>
    </row>
    <row r="870" spans="24:28">
      <c r="X870" s="96"/>
      <c r="Y870" s="96"/>
      <c r="Z870" s="95"/>
      <c r="AB870" s="94"/>
    </row>
    <row r="871" spans="24:28">
      <c r="X871" s="96"/>
      <c r="Y871" s="96"/>
      <c r="Z871" s="95"/>
      <c r="AB871" s="94"/>
    </row>
    <row r="872" spans="24:28">
      <c r="X872" s="96"/>
      <c r="Y872" s="96"/>
      <c r="Z872" s="95"/>
      <c r="AB872" s="94"/>
    </row>
    <row r="873" spans="24:28">
      <c r="X873" s="96"/>
      <c r="Y873" s="96"/>
      <c r="Z873" s="95"/>
      <c r="AB873" s="94"/>
    </row>
    <row r="874" spans="24:28">
      <c r="X874" s="96"/>
      <c r="Y874" s="96"/>
      <c r="Z874" s="95"/>
      <c r="AB874" s="94"/>
    </row>
    <row r="875" spans="24:28">
      <c r="X875" s="96"/>
      <c r="Y875" s="96"/>
      <c r="Z875" s="95"/>
      <c r="AB875" s="94"/>
    </row>
    <row r="876" spans="24:28">
      <c r="X876" s="96"/>
      <c r="Y876" s="96"/>
      <c r="Z876" s="95"/>
      <c r="AB876" s="94"/>
    </row>
    <row r="877" spans="24:28">
      <c r="X877" s="96"/>
      <c r="Y877" s="96"/>
      <c r="Z877" s="95"/>
      <c r="AB877" s="94"/>
    </row>
    <row r="878" spans="24:28">
      <c r="X878" s="96"/>
      <c r="Y878" s="96"/>
      <c r="Z878" s="95"/>
      <c r="AB878" s="94"/>
    </row>
    <row r="879" spans="24:28">
      <c r="X879" s="96"/>
      <c r="Y879" s="96"/>
      <c r="Z879" s="95"/>
      <c r="AB879" s="94"/>
    </row>
    <row r="880" spans="24:28">
      <c r="X880" s="96"/>
      <c r="Y880" s="96"/>
      <c r="Z880" s="95"/>
      <c r="AB880" s="94"/>
    </row>
    <row r="881" spans="23:41">
      <c r="X881" s="96"/>
      <c r="Y881" s="96"/>
      <c r="Z881" s="95"/>
      <c r="AB881" s="94"/>
    </row>
    <row r="882" spans="23:41">
      <c r="X882" s="96"/>
      <c r="Y882" s="96"/>
      <c r="Z882" s="95"/>
      <c r="AB882" s="94"/>
    </row>
    <row r="883" spans="23:41">
      <c r="X883" s="96"/>
      <c r="Y883" s="96"/>
      <c r="Z883" s="95"/>
      <c r="AB883" s="94"/>
    </row>
    <row r="884" spans="23:41">
      <c r="X884" s="96"/>
      <c r="Y884" s="96"/>
      <c r="Z884" s="95"/>
      <c r="AB884" s="94"/>
    </row>
    <row r="885" spans="23:41">
      <c r="X885" s="96"/>
      <c r="Y885" s="96"/>
      <c r="Z885" s="95"/>
      <c r="AB885" s="94"/>
    </row>
    <row r="888" spans="23:41">
      <c r="X888" s="35"/>
    </row>
    <row r="889" spans="23:41">
      <c r="X889" s="35"/>
    </row>
    <row r="890" spans="23:41">
      <c r="X890" s="92"/>
    </row>
    <row r="891" spans="23:41">
      <c r="X891" s="92"/>
    </row>
    <row r="893" spans="23:41">
      <c r="AF893" s="36"/>
      <c r="AG893" s="36"/>
      <c r="AH893" s="36"/>
      <c r="AI893" s="36"/>
      <c r="AJ893" s="36"/>
      <c r="AK893" s="36"/>
      <c r="AL893" s="36"/>
      <c r="AM893" s="36"/>
      <c r="AN893" s="36"/>
      <c r="AO893" s="36"/>
    </row>
    <row r="894" spans="23:41">
      <c r="W894" s="36"/>
      <c r="X894" s="36"/>
      <c r="Y894" s="36"/>
      <c r="Z894" s="36"/>
      <c r="AA894" s="36"/>
      <c r="AB894" s="36"/>
      <c r="AE894" s="89"/>
      <c r="AF894" s="93"/>
      <c r="AG894" s="93"/>
      <c r="AH894" s="93"/>
      <c r="AI894" s="93"/>
      <c r="AJ894" s="93"/>
      <c r="AK894" s="93"/>
      <c r="AL894" s="93"/>
      <c r="AM894" s="93"/>
      <c r="AN894" s="93"/>
      <c r="AO894" s="93"/>
    </row>
    <row r="896" spans="23:41">
      <c r="X896" s="94"/>
      <c r="Y896" s="94"/>
      <c r="Z896" s="95"/>
      <c r="AB896" s="94"/>
      <c r="AE896" s="94"/>
    </row>
    <row r="897" spans="23:41">
      <c r="X897" s="94"/>
      <c r="Y897" s="94"/>
      <c r="Z897" s="95"/>
      <c r="AB897" s="94"/>
      <c r="AE897" s="94"/>
    </row>
    <row r="898" spans="23:41">
      <c r="X898" s="94"/>
      <c r="Y898" s="94"/>
      <c r="Z898" s="95"/>
      <c r="AB898" s="94"/>
      <c r="AF898" s="94"/>
      <c r="AG898" s="94"/>
      <c r="AH898" s="94"/>
      <c r="AI898" s="94"/>
      <c r="AJ898" s="94"/>
      <c r="AK898" s="94"/>
      <c r="AL898" s="94"/>
      <c r="AM898" s="94"/>
      <c r="AN898" s="94"/>
      <c r="AO898" s="94"/>
    </row>
    <row r="899" spans="23:41">
      <c r="X899" s="94"/>
      <c r="Y899" s="94"/>
      <c r="Z899" s="95"/>
      <c r="AB899" s="94"/>
      <c r="AF899" s="94"/>
      <c r="AG899" s="94"/>
      <c r="AH899" s="94"/>
      <c r="AI899" s="94"/>
      <c r="AJ899" s="94"/>
      <c r="AK899" s="94"/>
      <c r="AL899" s="94"/>
      <c r="AM899" s="94"/>
      <c r="AN899" s="94"/>
      <c r="AO899" s="94"/>
    </row>
    <row r="900" spans="23:41">
      <c r="X900" s="94"/>
      <c r="Y900" s="94"/>
      <c r="Z900" s="95"/>
      <c r="AB900" s="94"/>
      <c r="AF900" s="94"/>
      <c r="AG900" s="94"/>
      <c r="AH900" s="94"/>
      <c r="AI900" s="94"/>
      <c r="AJ900" s="94"/>
      <c r="AK900" s="94"/>
      <c r="AL900" s="94"/>
      <c r="AM900" s="94"/>
      <c r="AN900" s="94"/>
      <c r="AO900" s="94"/>
    </row>
    <row r="901" spans="23:41">
      <c r="X901" s="94"/>
      <c r="Y901" s="94"/>
      <c r="Z901" s="95"/>
      <c r="AB901" s="94"/>
    </row>
    <row r="902" spans="23:41">
      <c r="X902" s="94"/>
      <c r="Y902" s="94"/>
      <c r="Z902" s="95"/>
      <c r="AB902" s="94"/>
      <c r="AE902" s="94"/>
      <c r="AF902" s="94"/>
      <c r="AG902" s="94"/>
      <c r="AH902" s="94"/>
      <c r="AI902" s="94"/>
      <c r="AJ902" s="94"/>
      <c r="AK902" s="94"/>
      <c r="AL902" s="94"/>
      <c r="AM902" s="94"/>
      <c r="AN902" s="94"/>
      <c r="AO902" s="94"/>
    </row>
    <row r="903" spans="23:41">
      <c r="X903" s="94"/>
      <c r="Y903" s="94"/>
      <c r="Z903" s="95"/>
      <c r="AB903" s="94"/>
    </row>
    <row r="904" spans="23:41">
      <c r="X904" s="94"/>
      <c r="Y904" s="94"/>
      <c r="Z904" s="95"/>
      <c r="AB904" s="94"/>
    </row>
    <row r="905" spans="23:41">
      <c r="X905" s="94"/>
      <c r="Y905" s="94"/>
      <c r="Z905" s="95"/>
      <c r="AB905" s="94"/>
    </row>
    <row r="906" spans="23:41">
      <c r="W906" s="91"/>
    </row>
    <row r="908" spans="23:41">
      <c r="W908" s="36"/>
      <c r="X908" s="36"/>
      <c r="Y908" s="36"/>
      <c r="Z908" s="36"/>
      <c r="AA908" s="36"/>
      <c r="AB908" s="36"/>
    </row>
    <row r="910" spans="23:41">
      <c r="X910" s="96"/>
      <c r="Y910" s="96"/>
      <c r="Z910" s="95"/>
      <c r="AB910" s="94"/>
    </row>
    <row r="911" spans="23:41">
      <c r="X911" s="96"/>
      <c r="Y911" s="96"/>
      <c r="Z911" s="95"/>
      <c r="AB911" s="94"/>
    </row>
    <row r="912" spans="23:41">
      <c r="X912" s="96"/>
      <c r="Y912" s="96"/>
      <c r="Z912" s="95"/>
      <c r="AB912" s="94"/>
    </row>
    <row r="913" spans="24:28">
      <c r="X913" s="96"/>
      <c r="Y913" s="96"/>
      <c r="Z913" s="95"/>
      <c r="AB913" s="94"/>
    </row>
    <row r="914" spans="24:28">
      <c r="X914" s="96"/>
      <c r="Y914" s="96"/>
      <c r="Z914" s="95"/>
      <c r="AB914" s="94"/>
    </row>
    <row r="915" spans="24:28">
      <c r="X915" s="96"/>
      <c r="Y915" s="96"/>
      <c r="Z915" s="95"/>
      <c r="AB915" s="94"/>
    </row>
    <row r="916" spans="24:28">
      <c r="X916" s="96"/>
      <c r="Y916" s="96"/>
      <c r="Z916" s="95"/>
      <c r="AB916" s="94"/>
    </row>
    <row r="917" spans="24:28">
      <c r="X917" s="96"/>
      <c r="Y917" s="96"/>
      <c r="Z917" s="95"/>
      <c r="AB917" s="94"/>
    </row>
    <row r="918" spans="24:28">
      <c r="X918" s="96"/>
      <c r="Y918" s="96"/>
      <c r="Z918" s="95"/>
      <c r="AB918" s="94"/>
    </row>
    <row r="919" spans="24:28">
      <c r="X919" s="96"/>
      <c r="Y919" s="96"/>
      <c r="Z919" s="95"/>
      <c r="AB919" s="94"/>
    </row>
    <row r="920" spans="24:28">
      <c r="X920" s="96"/>
      <c r="Y920" s="96"/>
      <c r="Z920" s="95"/>
      <c r="AB920" s="94"/>
    </row>
    <row r="921" spans="24:28">
      <c r="X921" s="96"/>
      <c r="Y921" s="96"/>
      <c r="Z921" s="95"/>
      <c r="AB921" s="94"/>
    </row>
    <row r="922" spans="24:28">
      <c r="X922" s="96"/>
      <c r="Y922" s="96"/>
      <c r="Z922" s="95"/>
      <c r="AB922" s="94"/>
    </row>
    <row r="923" spans="24:28" hidden="1">
      <c r="X923" s="96"/>
      <c r="Y923" s="96"/>
      <c r="Z923" s="95"/>
      <c r="AB923" s="94"/>
    </row>
    <row r="924" spans="24:28" hidden="1">
      <c r="X924" s="96"/>
      <c r="Y924" s="96"/>
      <c r="Z924" s="95"/>
      <c r="AB924" s="94"/>
    </row>
    <row r="925" spans="24:28" hidden="1">
      <c r="X925" s="96"/>
      <c r="Y925" s="96"/>
      <c r="Z925" s="95"/>
      <c r="AB925" s="94"/>
    </row>
    <row r="926" spans="24:28" hidden="1">
      <c r="X926" s="96"/>
      <c r="Y926" s="96"/>
      <c r="Z926" s="95"/>
      <c r="AB926" s="94"/>
    </row>
    <row r="927" spans="24:28" hidden="1">
      <c r="X927" s="96"/>
      <c r="Y927" s="96"/>
      <c r="Z927" s="95"/>
      <c r="AB927" s="94"/>
    </row>
    <row r="928" spans="24:28" hidden="1">
      <c r="X928" s="96"/>
      <c r="Y928" s="96"/>
      <c r="Z928" s="95"/>
      <c r="AB928" s="94"/>
    </row>
    <row r="929" spans="24:28" hidden="1">
      <c r="X929" s="96"/>
      <c r="Y929" s="96"/>
      <c r="Z929" s="95"/>
      <c r="AB929" s="94"/>
    </row>
    <row r="930" spans="24:28" hidden="1">
      <c r="X930" s="96"/>
      <c r="Y930" s="96"/>
      <c r="Z930" s="95"/>
      <c r="AB930" s="94"/>
    </row>
    <row r="931" spans="24:28" hidden="1">
      <c r="X931" s="96"/>
      <c r="Y931" s="96"/>
      <c r="Z931" s="95"/>
      <c r="AB931" s="94"/>
    </row>
    <row r="932" spans="24:28" hidden="1">
      <c r="X932" s="96"/>
      <c r="Y932" s="96"/>
      <c r="Z932" s="95"/>
      <c r="AB932" s="94"/>
    </row>
    <row r="933" spans="24:28" hidden="1">
      <c r="X933" s="96"/>
      <c r="Y933" s="96"/>
      <c r="Z933" s="95"/>
      <c r="AB933" s="94"/>
    </row>
    <row r="934" spans="24:28" hidden="1">
      <c r="X934" s="96"/>
      <c r="Y934" s="96"/>
      <c r="Z934" s="95"/>
      <c r="AB934" s="94"/>
    </row>
    <row r="935" spans="24:28" hidden="1">
      <c r="X935" s="96"/>
      <c r="Y935" s="96"/>
      <c r="Z935" s="95"/>
      <c r="AB935" s="94"/>
    </row>
    <row r="936" spans="24:28" hidden="1">
      <c r="X936" s="96"/>
      <c r="Y936" s="96"/>
      <c r="Z936" s="95"/>
      <c r="AB936" s="94"/>
    </row>
    <row r="937" spans="24:28" hidden="1">
      <c r="X937" s="96"/>
      <c r="Y937" s="96"/>
      <c r="Z937" s="95"/>
      <c r="AB937" s="94"/>
    </row>
    <row r="938" spans="24:28" hidden="1">
      <c r="X938" s="96"/>
      <c r="Y938" s="96"/>
      <c r="Z938" s="95"/>
      <c r="AB938" s="94"/>
    </row>
    <row r="939" spans="24:28" hidden="1">
      <c r="X939" s="96"/>
      <c r="Y939" s="96"/>
      <c r="Z939" s="95"/>
      <c r="AB939" s="94"/>
    </row>
    <row r="940" spans="24:28" hidden="1">
      <c r="X940" s="96"/>
      <c r="Y940" s="96"/>
      <c r="Z940" s="95"/>
      <c r="AB940" s="94"/>
    </row>
    <row r="941" spans="24:28" hidden="1">
      <c r="X941" s="96"/>
      <c r="Y941" s="96"/>
      <c r="Z941" s="95"/>
      <c r="AB941" s="94"/>
    </row>
    <row r="942" spans="24:28" hidden="1">
      <c r="X942" s="96"/>
      <c r="Y942" s="96"/>
      <c r="Z942" s="95"/>
      <c r="AB942" s="94"/>
    </row>
    <row r="943" spans="24:28" hidden="1">
      <c r="X943" s="96"/>
      <c r="Y943" s="96"/>
      <c r="Z943" s="95"/>
      <c r="AB943" s="94"/>
    </row>
    <row r="944" spans="24:28" hidden="1">
      <c r="X944" s="96"/>
      <c r="Y944" s="96"/>
      <c r="Z944" s="95"/>
      <c r="AB944" s="94"/>
    </row>
    <row r="945" spans="24:28" hidden="1">
      <c r="X945" s="96"/>
      <c r="Y945" s="96"/>
      <c r="Z945" s="95"/>
      <c r="AB945" s="94"/>
    </row>
    <row r="946" spans="24:28" hidden="1">
      <c r="X946" s="96"/>
      <c r="Y946" s="96"/>
      <c r="Z946" s="95"/>
      <c r="AB946" s="94"/>
    </row>
    <row r="947" spans="24:28" hidden="1">
      <c r="X947" s="96"/>
      <c r="Y947" s="96"/>
      <c r="Z947" s="95"/>
      <c r="AB947" s="94"/>
    </row>
    <row r="948" spans="24:28" hidden="1">
      <c r="X948" s="96"/>
      <c r="Y948" s="96"/>
      <c r="Z948" s="95"/>
      <c r="AB948" s="94"/>
    </row>
    <row r="949" spans="24:28" hidden="1">
      <c r="X949" s="96"/>
      <c r="Y949" s="96"/>
      <c r="Z949" s="95"/>
      <c r="AB949" s="94"/>
    </row>
    <row r="950" spans="24:28" hidden="1">
      <c r="X950" s="96"/>
      <c r="Y950" s="96"/>
      <c r="Z950" s="95"/>
      <c r="AB950" s="94"/>
    </row>
    <row r="951" spans="24:28" hidden="1">
      <c r="X951" s="96"/>
      <c r="Y951" s="96"/>
      <c r="Z951" s="95"/>
      <c r="AB951" s="94"/>
    </row>
    <row r="952" spans="24:28" hidden="1">
      <c r="X952" s="96"/>
      <c r="Y952" s="96"/>
      <c r="Z952" s="95"/>
      <c r="AB952" s="94"/>
    </row>
    <row r="953" spans="24:28" hidden="1">
      <c r="X953" s="96"/>
      <c r="Y953" s="96"/>
      <c r="Z953" s="95"/>
      <c r="AB953" s="94"/>
    </row>
    <row r="954" spans="24:28" hidden="1">
      <c r="X954" s="96"/>
      <c r="Y954" s="96"/>
      <c r="Z954" s="95"/>
      <c r="AB954" s="94"/>
    </row>
    <row r="955" spans="24:28" hidden="1">
      <c r="X955" s="96"/>
      <c r="Y955" s="96"/>
      <c r="Z955" s="95"/>
      <c r="AB955" s="94"/>
    </row>
    <row r="956" spans="24:28" hidden="1">
      <c r="X956" s="96"/>
      <c r="Y956" s="96"/>
      <c r="Z956" s="95"/>
      <c r="AB956" s="94"/>
    </row>
    <row r="957" spans="24:28" hidden="1">
      <c r="X957" s="96"/>
      <c r="Y957" s="96"/>
      <c r="Z957" s="95"/>
      <c r="AB957" s="94"/>
    </row>
    <row r="958" spans="24:28" hidden="1">
      <c r="X958" s="96"/>
      <c r="Y958" s="96"/>
      <c r="Z958" s="95"/>
      <c r="AB958" s="94"/>
    </row>
    <row r="959" spans="24:28" hidden="1">
      <c r="X959" s="96"/>
      <c r="Y959" s="96"/>
      <c r="Z959" s="95"/>
      <c r="AB959" s="94"/>
    </row>
    <row r="960" spans="24:28" hidden="1">
      <c r="X960" s="96"/>
      <c r="Y960" s="96"/>
      <c r="Z960" s="95"/>
      <c r="AB960" s="94"/>
    </row>
    <row r="961" spans="24:28" hidden="1">
      <c r="X961" s="96"/>
      <c r="Y961" s="96"/>
      <c r="Z961" s="95"/>
      <c r="AB961" s="94"/>
    </row>
    <row r="962" spans="24:28" hidden="1">
      <c r="X962" s="96"/>
      <c r="Y962" s="96"/>
      <c r="Z962" s="95"/>
      <c r="AB962" s="94"/>
    </row>
    <row r="963" spans="24:28" hidden="1">
      <c r="X963" s="96"/>
      <c r="Y963" s="96"/>
      <c r="Z963" s="95"/>
      <c r="AB963" s="94"/>
    </row>
    <row r="964" spans="24:28" hidden="1">
      <c r="X964" s="96"/>
      <c r="Y964" s="96"/>
      <c r="Z964" s="95"/>
      <c r="AB964" s="94"/>
    </row>
    <row r="965" spans="24:28" hidden="1">
      <c r="X965" s="96"/>
      <c r="Y965" s="96"/>
      <c r="Z965" s="95"/>
      <c r="AB965" s="94"/>
    </row>
    <row r="966" spans="24:28" hidden="1">
      <c r="X966" s="96"/>
      <c r="Y966" s="96"/>
      <c r="Z966" s="95"/>
      <c r="AB966" s="94"/>
    </row>
    <row r="967" spans="24:28" hidden="1">
      <c r="X967" s="96"/>
      <c r="Y967" s="96"/>
      <c r="Z967" s="95"/>
      <c r="AB967" s="94"/>
    </row>
    <row r="968" spans="24:28" hidden="1">
      <c r="X968" s="96"/>
      <c r="Y968" s="96"/>
      <c r="Z968" s="95"/>
      <c r="AB968" s="94"/>
    </row>
    <row r="969" spans="24:28" hidden="1">
      <c r="X969" s="96"/>
      <c r="Y969" s="96"/>
      <c r="Z969" s="95"/>
      <c r="AB969" s="94"/>
    </row>
    <row r="970" spans="24:28" hidden="1">
      <c r="X970" s="96"/>
      <c r="Y970" s="96"/>
      <c r="Z970" s="95"/>
      <c r="AB970" s="94"/>
    </row>
    <row r="971" spans="24:28" hidden="1">
      <c r="X971" s="96"/>
      <c r="Y971" s="96"/>
      <c r="Z971" s="95"/>
      <c r="AB971" s="94"/>
    </row>
    <row r="972" spans="24:28" hidden="1">
      <c r="X972" s="96"/>
      <c r="Y972" s="96"/>
      <c r="Z972" s="95"/>
      <c r="AB972" s="94"/>
    </row>
    <row r="973" spans="24:28" hidden="1">
      <c r="X973" s="96"/>
      <c r="Y973" s="96"/>
      <c r="Z973" s="95"/>
      <c r="AB973" s="94"/>
    </row>
    <row r="974" spans="24:28" hidden="1">
      <c r="X974" s="96"/>
      <c r="Y974" s="96"/>
      <c r="Z974" s="95"/>
      <c r="AB974" s="94"/>
    </row>
    <row r="975" spans="24:28" hidden="1">
      <c r="X975" s="96"/>
      <c r="Y975" s="96"/>
      <c r="Z975" s="95"/>
      <c r="AB975" s="94"/>
    </row>
    <row r="976" spans="24:28" hidden="1">
      <c r="X976" s="96"/>
      <c r="Y976" s="96"/>
      <c r="Z976" s="95"/>
      <c r="AB976" s="94"/>
    </row>
    <row r="977" spans="24:28" hidden="1">
      <c r="X977" s="96"/>
      <c r="Y977" s="96"/>
      <c r="Z977" s="95"/>
      <c r="AB977" s="94"/>
    </row>
    <row r="978" spans="24:28" hidden="1">
      <c r="X978" s="96"/>
      <c r="Y978" s="96"/>
      <c r="Z978" s="95"/>
      <c r="AB978" s="94"/>
    </row>
    <row r="979" spans="24:28" hidden="1">
      <c r="X979" s="96"/>
      <c r="Y979" s="96"/>
      <c r="Z979" s="95"/>
      <c r="AB979" s="94"/>
    </row>
    <row r="980" spans="24:28" hidden="1">
      <c r="X980" s="96"/>
      <c r="Y980" s="96"/>
      <c r="Z980" s="95"/>
      <c r="AB980" s="94"/>
    </row>
    <row r="981" spans="24:28" hidden="1">
      <c r="X981" s="96"/>
      <c r="Y981" s="96"/>
      <c r="Z981" s="95"/>
      <c r="AB981" s="94"/>
    </row>
    <row r="982" spans="24:28" hidden="1">
      <c r="X982" s="96"/>
      <c r="Y982" s="96"/>
      <c r="Z982" s="95"/>
      <c r="AB982" s="94"/>
    </row>
    <row r="983" spans="24:28" hidden="1">
      <c r="X983" s="96"/>
      <c r="Y983" s="96"/>
      <c r="Z983" s="95"/>
      <c r="AB983" s="94"/>
    </row>
    <row r="984" spans="24:28" hidden="1">
      <c r="X984" s="96"/>
      <c r="Y984" s="96"/>
      <c r="Z984" s="95"/>
      <c r="AB984" s="94"/>
    </row>
    <row r="985" spans="24:28" hidden="1">
      <c r="X985" s="96"/>
      <c r="Y985" s="96"/>
      <c r="Z985" s="95"/>
      <c r="AB985" s="94"/>
    </row>
    <row r="986" spans="24:28" hidden="1">
      <c r="X986" s="96"/>
      <c r="Y986" s="96"/>
      <c r="Z986" s="95"/>
      <c r="AB986" s="94"/>
    </row>
    <row r="987" spans="24:28" hidden="1">
      <c r="X987" s="96"/>
      <c r="Y987" s="96"/>
      <c r="Z987" s="95"/>
      <c r="AB987" s="94"/>
    </row>
    <row r="988" spans="24:28" hidden="1">
      <c r="X988" s="96"/>
      <c r="Y988" s="96"/>
      <c r="Z988" s="95"/>
      <c r="AB988" s="94"/>
    </row>
    <row r="989" spans="24:28" hidden="1">
      <c r="X989" s="96"/>
      <c r="Y989" s="96"/>
      <c r="Z989" s="95"/>
      <c r="AB989" s="94"/>
    </row>
    <row r="990" spans="24:28" hidden="1">
      <c r="X990" s="96"/>
      <c r="Y990" s="96"/>
      <c r="Z990" s="95"/>
      <c r="AB990" s="94"/>
    </row>
    <row r="991" spans="24:28" hidden="1">
      <c r="X991" s="96"/>
      <c r="Y991" s="96"/>
      <c r="Z991" s="95"/>
      <c r="AB991" s="94"/>
    </row>
    <row r="992" spans="24:28" hidden="1">
      <c r="X992" s="96"/>
      <c r="Y992" s="96"/>
      <c r="Z992" s="95"/>
      <c r="AB992" s="94"/>
    </row>
    <row r="993" spans="24:28" hidden="1">
      <c r="X993" s="96"/>
      <c r="Y993" s="96"/>
      <c r="Z993" s="95"/>
      <c r="AB993" s="94"/>
    </row>
    <row r="994" spans="24:28" hidden="1">
      <c r="X994" s="96"/>
      <c r="Y994" s="96"/>
      <c r="Z994" s="95"/>
      <c r="AB994" s="94"/>
    </row>
    <row r="995" spans="24:28" hidden="1">
      <c r="X995" s="96"/>
      <c r="Y995" s="96"/>
      <c r="Z995" s="95"/>
      <c r="AB995" s="94"/>
    </row>
    <row r="996" spans="24:28" hidden="1">
      <c r="X996" s="96"/>
      <c r="Y996" s="96"/>
      <c r="Z996" s="95"/>
      <c r="AB996" s="94"/>
    </row>
    <row r="997" spans="24:28" hidden="1">
      <c r="X997" s="96"/>
      <c r="Y997" s="96"/>
      <c r="Z997" s="95"/>
      <c r="AB997" s="94"/>
    </row>
    <row r="998" spans="24:28" hidden="1">
      <c r="X998" s="96"/>
      <c r="Y998" s="96"/>
      <c r="Z998" s="95"/>
      <c r="AB998" s="94"/>
    </row>
    <row r="999" spans="24:28" hidden="1">
      <c r="X999" s="96"/>
      <c r="Y999" s="96"/>
      <c r="Z999" s="95"/>
      <c r="AB999" s="94"/>
    </row>
    <row r="1000" spans="24:28" hidden="1">
      <c r="X1000" s="96"/>
      <c r="Y1000" s="96"/>
      <c r="Z1000" s="95"/>
      <c r="AB1000" s="94"/>
    </row>
    <row r="1001" spans="24:28" hidden="1">
      <c r="X1001" s="96"/>
      <c r="Y1001" s="96"/>
      <c r="Z1001" s="95"/>
      <c r="AB1001" s="94"/>
    </row>
    <row r="1002" spans="24:28" hidden="1">
      <c r="X1002" s="96"/>
      <c r="Y1002" s="96"/>
      <c r="Z1002" s="95"/>
      <c r="AB1002" s="94"/>
    </row>
    <row r="1003" spans="24:28" hidden="1">
      <c r="X1003" s="96"/>
      <c r="Y1003" s="96"/>
      <c r="Z1003" s="95"/>
      <c r="AB1003" s="94"/>
    </row>
    <row r="1004" spans="24:28" hidden="1">
      <c r="X1004" s="96"/>
      <c r="Y1004" s="96"/>
      <c r="Z1004" s="95"/>
      <c r="AB1004" s="94"/>
    </row>
    <row r="1005" spans="24:28" hidden="1">
      <c r="X1005" s="96"/>
      <c r="Y1005" s="96"/>
      <c r="Z1005" s="95"/>
      <c r="AB1005" s="94"/>
    </row>
    <row r="1006" spans="24:28" hidden="1">
      <c r="X1006" s="96"/>
      <c r="Y1006" s="96"/>
      <c r="Z1006" s="95"/>
      <c r="AB1006" s="94"/>
    </row>
    <row r="1007" spans="24:28" hidden="1">
      <c r="X1007" s="96"/>
      <c r="Y1007" s="96"/>
      <c r="Z1007" s="95"/>
      <c r="AB1007" s="94"/>
    </row>
    <row r="1008" spans="24:28" hidden="1">
      <c r="X1008" s="96"/>
      <c r="Y1008" s="96"/>
      <c r="Z1008" s="95"/>
      <c r="AB1008" s="94"/>
    </row>
    <row r="1009" spans="24:28" hidden="1">
      <c r="X1009" s="96"/>
      <c r="Y1009" s="96"/>
      <c r="Z1009" s="95"/>
      <c r="AB1009" s="94"/>
    </row>
    <row r="1010" spans="24:28" hidden="1">
      <c r="X1010" s="96"/>
      <c r="Y1010" s="96"/>
      <c r="Z1010" s="95"/>
      <c r="AB1010" s="94"/>
    </row>
    <row r="1011" spans="24:28" hidden="1">
      <c r="X1011" s="96"/>
      <c r="Y1011" s="96"/>
      <c r="Z1011" s="95"/>
      <c r="AB1011" s="94"/>
    </row>
    <row r="1012" spans="24:28" hidden="1">
      <c r="X1012" s="96"/>
      <c r="Y1012" s="96"/>
      <c r="Z1012" s="95"/>
      <c r="AB1012" s="94"/>
    </row>
    <row r="1013" spans="24:28" hidden="1">
      <c r="X1013" s="96"/>
      <c r="Y1013" s="96"/>
      <c r="Z1013" s="95"/>
      <c r="AB1013" s="94"/>
    </row>
    <row r="1014" spans="24:28" hidden="1">
      <c r="X1014" s="96"/>
      <c r="Y1014" s="96"/>
      <c r="Z1014" s="95"/>
      <c r="AB1014" s="94"/>
    </row>
    <row r="1015" spans="24:28" hidden="1">
      <c r="X1015" s="96"/>
      <c r="Y1015" s="96"/>
      <c r="Z1015" s="95"/>
      <c r="AB1015" s="94"/>
    </row>
    <row r="1016" spans="24:28" hidden="1">
      <c r="X1016" s="96"/>
      <c r="Y1016" s="96"/>
      <c r="Z1016" s="95"/>
      <c r="AB1016" s="94"/>
    </row>
    <row r="1017" spans="24:28" hidden="1">
      <c r="X1017" s="96"/>
      <c r="Y1017" s="96"/>
      <c r="Z1017" s="95"/>
      <c r="AB1017" s="94"/>
    </row>
    <row r="1018" spans="24:28" hidden="1">
      <c r="X1018" s="96"/>
      <c r="Y1018" s="96"/>
      <c r="Z1018" s="95"/>
      <c r="AB1018" s="94"/>
    </row>
    <row r="1019" spans="24:28" hidden="1">
      <c r="X1019" s="96"/>
      <c r="Y1019" s="96"/>
      <c r="Z1019" s="95"/>
      <c r="AB1019" s="94"/>
    </row>
    <row r="1020" spans="24:28" hidden="1">
      <c r="X1020" s="96"/>
      <c r="Y1020" s="96"/>
      <c r="Z1020" s="95"/>
      <c r="AB1020" s="94"/>
    </row>
    <row r="1021" spans="24:28" hidden="1">
      <c r="X1021" s="96"/>
      <c r="Y1021" s="96"/>
      <c r="Z1021" s="95"/>
      <c r="AB1021" s="94"/>
    </row>
    <row r="1022" spans="24:28" hidden="1">
      <c r="X1022" s="96"/>
      <c r="Y1022" s="96"/>
      <c r="Z1022" s="95"/>
      <c r="AB1022" s="94"/>
    </row>
    <row r="1023" spans="24:28" hidden="1">
      <c r="X1023" s="96"/>
      <c r="Y1023" s="96"/>
      <c r="Z1023" s="95"/>
      <c r="AB1023" s="94"/>
    </row>
    <row r="1024" spans="24:28" hidden="1">
      <c r="X1024" s="96"/>
      <c r="Y1024" s="96"/>
      <c r="Z1024" s="95"/>
      <c r="AB1024" s="94"/>
    </row>
    <row r="1025" spans="23:41" hidden="1">
      <c r="X1025" s="96"/>
      <c r="Y1025" s="96"/>
      <c r="Z1025" s="95"/>
      <c r="AB1025" s="94"/>
    </row>
    <row r="1026" spans="23:41" hidden="1">
      <c r="X1026" s="96"/>
      <c r="Y1026" s="96"/>
      <c r="Z1026" s="95"/>
      <c r="AB1026" s="94"/>
    </row>
    <row r="1027" spans="23:41" hidden="1">
      <c r="X1027" s="96"/>
      <c r="Y1027" s="96"/>
      <c r="Z1027" s="95"/>
      <c r="AB1027" s="94"/>
    </row>
    <row r="1028" spans="23:41" hidden="1">
      <c r="X1028" s="96"/>
      <c r="Y1028" s="96"/>
      <c r="Z1028" s="95"/>
      <c r="AB1028" s="94"/>
    </row>
    <row r="1029" spans="23:41" hidden="1">
      <c r="X1029" s="96"/>
      <c r="Y1029" s="96"/>
      <c r="Z1029" s="95"/>
      <c r="AB1029" s="94"/>
    </row>
    <row r="1030" spans="23:41" hidden="1"/>
    <row r="1031" spans="23:41" hidden="1"/>
    <row r="1032" spans="23:41" hidden="1">
      <c r="X1032" s="35"/>
    </row>
    <row r="1033" spans="23:41" hidden="1">
      <c r="X1033" s="35"/>
    </row>
    <row r="1034" spans="23:41" hidden="1">
      <c r="X1034" s="92"/>
    </row>
    <row r="1035" spans="23:41" hidden="1">
      <c r="X1035" s="92"/>
    </row>
    <row r="1036" spans="23:41" hidden="1"/>
    <row r="1037" spans="23:41" hidden="1">
      <c r="AF1037" s="36"/>
      <c r="AG1037" s="36"/>
      <c r="AH1037" s="36"/>
      <c r="AI1037" s="36"/>
      <c r="AJ1037" s="36"/>
      <c r="AK1037" s="36"/>
      <c r="AL1037" s="36"/>
      <c r="AM1037" s="36"/>
      <c r="AN1037" s="36"/>
      <c r="AO1037" s="36"/>
    </row>
    <row r="1038" spans="23:41" hidden="1">
      <c r="W1038" s="36"/>
      <c r="X1038" s="36"/>
      <c r="Y1038" s="36"/>
      <c r="Z1038" s="36"/>
      <c r="AA1038" s="36"/>
      <c r="AB1038" s="36"/>
      <c r="AE1038" s="89"/>
      <c r="AF1038" s="93"/>
      <c r="AG1038" s="93"/>
      <c r="AH1038" s="93"/>
      <c r="AI1038" s="93"/>
      <c r="AJ1038" s="93"/>
      <c r="AK1038" s="93"/>
      <c r="AL1038" s="93"/>
      <c r="AM1038" s="93"/>
      <c r="AN1038" s="93"/>
      <c r="AO1038" s="93"/>
    </row>
    <row r="1039" spans="23:41" hidden="1"/>
    <row r="1040" spans="23:41" hidden="1">
      <c r="X1040" s="94"/>
      <c r="Y1040" s="94"/>
      <c r="Z1040" s="95"/>
      <c r="AB1040" s="94"/>
      <c r="AE1040" s="94"/>
    </row>
    <row r="1041" spans="23:41" hidden="1">
      <c r="X1041" s="94"/>
      <c r="Y1041" s="94"/>
      <c r="Z1041" s="95"/>
      <c r="AB1041" s="94"/>
      <c r="AE1041" s="94"/>
    </row>
    <row r="1042" spans="23:41" hidden="1">
      <c r="X1042" s="94"/>
      <c r="Y1042" s="94"/>
      <c r="Z1042" s="95"/>
      <c r="AB1042" s="94"/>
      <c r="AF1042" s="94"/>
      <c r="AG1042" s="94"/>
      <c r="AH1042" s="94"/>
      <c r="AI1042" s="94"/>
      <c r="AJ1042" s="94"/>
      <c r="AK1042" s="94"/>
      <c r="AL1042" s="94"/>
      <c r="AM1042" s="94"/>
      <c r="AN1042" s="94"/>
      <c r="AO1042" s="94"/>
    </row>
    <row r="1043" spans="23:41" hidden="1">
      <c r="X1043" s="94"/>
      <c r="Y1043" s="94"/>
      <c r="Z1043" s="95"/>
      <c r="AB1043" s="94"/>
      <c r="AF1043" s="94"/>
      <c r="AG1043" s="94"/>
      <c r="AH1043" s="94"/>
      <c r="AI1043" s="94"/>
      <c r="AJ1043" s="94"/>
      <c r="AK1043" s="94"/>
      <c r="AL1043" s="94"/>
      <c r="AM1043" s="94"/>
      <c r="AN1043" s="94"/>
      <c r="AO1043" s="94"/>
    </row>
    <row r="1044" spans="23:41" hidden="1">
      <c r="X1044" s="94"/>
      <c r="Y1044" s="94"/>
      <c r="Z1044" s="95"/>
      <c r="AB1044" s="94"/>
      <c r="AF1044" s="94"/>
      <c r="AG1044" s="94"/>
      <c r="AH1044" s="94"/>
      <c r="AI1044" s="94"/>
      <c r="AJ1044" s="94"/>
      <c r="AK1044" s="94"/>
      <c r="AL1044" s="94"/>
      <c r="AM1044" s="94"/>
      <c r="AN1044" s="94"/>
      <c r="AO1044" s="94"/>
    </row>
    <row r="1045" spans="23:41">
      <c r="X1045" s="94"/>
      <c r="Y1045" s="94"/>
      <c r="Z1045" s="95"/>
      <c r="AB1045" s="94"/>
    </row>
    <row r="1046" spans="23:41">
      <c r="X1046" s="94"/>
      <c r="Y1046" s="94"/>
      <c r="Z1046" s="95"/>
      <c r="AB1046" s="94"/>
      <c r="AE1046" s="94"/>
      <c r="AF1046" s="94"/>
      <c r="AG1046" s="94"/>
      <c r="AH1046" s="94"/>
      <c r="AI1046" s="94"/>
      <c r="AJ1046" s="94"/>
      <c r="AK1046" s="94"/>
      <c r="AL1046" s="94"/>
      <c r="AM1046" s="94"/>
      <c r="AN1046" s="94"/>
      <c r="AO1046" s="94"/>
    </row>
    <row r="1047" spans="23:41">
      <c r="X1047" s="94"/>
      <c r="Y1047" s="94"/>
      <c r="Z1047" s="95"/>
      <c r="AB1047" s="94"/>
    </row>
    <row r="1048" spans="23:41">
      <c r="X1048" s="94"/>
      <c r="Y1048" s="94"/>
      <c r="Z1048" s="95"/>
      <c r="AB1048" s="94"/>
    </row>
    <row r="1049" spans="23:41">
      <c r="X1049" s="94"/>
      <c r="Y1049" s="94"/>
      <c r="Z1049" s="95"/>
      <c r="AB1049" s="94"/>
    </row>
    <row r="1050" spans="23:41">
      <c r="W1050" s="91"/>
    </row>
    <row r="1052" spans="23:41">
      <c r="W1052" s="36"/>
      <c r="X1052" s="36"/>
      <c r="Y1052" s="36"/>
      <c r="Z1052" s="36"/>
      <c r="AA1052" s="36"/>
      <c r="AB1052" s="36"/>
    </row>
    <row r="1054" spans="23:41">
      <c r="X1054" s="96"/>
      <c r="Y1054" s="96"/>
      <c r="Z1054" s="95"/>
      <c r="AB1054" s="94"/>
    </row>
    <row r="1055" spans="23:41">
      <c r="X1055" s="96"/>
      <c r="Y1055" s="96"/>
      <c r="Z1055" s="95"/>
      <c r="AB1055" s="94"/>
    </row>
    <row r="1056" spans="23:41">
      <c r="X1056" s="96"/>
      <c r="Y1056" s="96"/>
      <c r="Z1056" s="95"/>
      <c r="AB1056" s="94"/>
    </row>
    <row r="1057" spans="24:28">
      <c r="X1057" s="96"/>
      <c r="Y1057" s="96"/>
      <c r="Z1057" s="95"/>
      <c r="AB1057" s="94"/>
    </row>
    <row r="1058" spans="24:28">
      <c r="X1058" s="96"/>
      <c r="Y1058" s="96"/>
      <c r="Z1058" s="95"/>
      <c r="AB1058" s="94"/>
    </row>
    <row r="1059" spans="24:28">
      <c r="X1059" s="96"/>
      <c r="Y1059" s="96"/>
      <c r="Z1059" s="95"/>
      <c r="AB1059" s="94"/>
    </row>
    <row r="1060" spans="24:28">
      <c r="X1060" s="96"/>
      <c r="Y1060" s="96"/>
      <c r="Z1060" s="95"/>
      <c r="AB1060" s="94"/>
    </row>
    <row r="1061" spans="24:28">
      <c r="X1061" s="96"/>
      <c r="Y1061" s="96"/>
      <c r="Z1061" s="95"/>
      <c r="AB1061" s="94"/>
    </row>
    <row r="1062" spans="24:28">
      <c r="X1062" s="96"/>
      <c r="Y1062" s="96"/>
      <c r="Z1062" s="95"/>
      <c r="AB1062" s="94"/>
    </row>
    <row r="1063" spans="24:28">
      <c r="X1063" s="96"/>
      <c r="Y1063" s="96"/>
      <c r="Z1063" s="95"/>
      <c r="AB1063" s="94"/>
    </row>
    <row r="1064" spans="24:28">
      <c r="X1064" s="96"/>
      <c r="Y1064" s="96"/>
      <c r="Z1064" s="95"/>
      <c r="AB1064" s="94"/>
    </row>
    <row r="1065" spans="24:28">
      <c r="X1065" s="96"/>
      <c r="Y1065" s="96"/>
      <c r="Z1065" s="95"/>
      <c r="AB1065" s="94"/>
    </row>
    <row r="1066" spans="24:28">
      <c r="X1066" s="96"/>
      <c r="Y1066" s="96"/>
      <c r="Z1066" s="95"/>
      <c r="AB1066" s="94"/>
    </row>
    <row r="1067" spans="24:28" hidden="1">
      <c r="X1067" s="96"/>
      <c r="Y1067" s="96"/>
      <c r="Z1067" s="95"/>
      <c r="AB1067" s="94"/>
    </row>
    <row r="1068" spans="24:28" hidden="1">
      <c r="X1068" s="96"/>
      <c r="Y1068" s="96"/>
      <c r="Z1068" s="95"/>
      <c r="AB1068" s="94"/>
    </row>
    <row r="1069" spans="24:28" hidden="1">
      <c r="X1069" s="96"/>
      <c r="Y1069" s="96"/>
      <c r="Z1069" s="95"/>
      <c r="AB1069" s="94"/>
    </row>
    <row r="1070" spans="24:28" hidden="1">
      <c r="X1070" s="96"/>
      <c r="Y1070" s="96"/>
      <c r="Z1070" s="95"/>
      <c r="AB1070" s="94"/>
    </row>
    <row r="1071" spans="24:28" hidden="1">
      <c r="X1071" s="96"/>
      <c r="Y1071" s="96"/>
      <c r="Z1071" s="95"/>
      <c r="AB1071" s="94"/>
    </row>
    <row r="1072" spans="24:28" hidden="1">
      <c r="X1072" s="96"/>
      <c r="Y1072" s="96"/>
      <c r="Z1072" s="95"/>
      <c r="AB1072" s="94"/>
    </row>
    <row r="1073" spans="24:28" hidden="1">
      <c r="X1073" s="96"/>
      <c r="Y1073" s="96"/>
      <c r="Z1073" s="95"/>
      <c r="AB1073" s="94"/>
    </row>
    <row r="1074" spans="24:28" hidden="1">
      <c r="X1074" s="96"/>
      <c r="Y1074" s="96"/>
      <c r="Z1074" s="95"/>
      <c r="AB1074" s="94"/>
    </row>
    <row r="1075" spans="24:28" hidden="1">
      <c r="X1075" s="96"/>
      <c r="Y1075" s="96"/>
      <c r="Z1075" s="95"/>
      <c r="AB1075" s="94"/>
    </row>
    <row r="1076" spans="24:28" hidden="1">
      <c r="X1076" s="96"/>
      <c r="Y1076" s="96"/>
      <c r="Z1076" s="95"/>
      <c r="AB1076" s="94"/>
    </row>
    <row r="1077" spans="24:28" hidden="1">
      <c r="X1077" s="96"/>
      <c r="Y1077" s="96"/>
      <c r="Z1077" s="95"/>
      <c r="AB1077" s="94"/>
    </row>
    <row r="1078" spans="24:28" hidden="1">
      <c r="X1078" s="96"/>
      <c r="Y1078" s="96"/>
      <c r="Z1078" s="95"/>
      <c r="AB1078" s="94"/>
    </row>
    <row r="1079" spans="24:28" hidden="1">
      <c r="X1079" s="96"/>
      <c r="Y1079" s="96"/>
      <c r="Z1079" s="95"/>
      <c r="AB1079" s="94"/>
    </row>
    <row r="1080" spans="24:28" hidden="1">
      <c r="X1080" s="96"/>
      <c r="Y1080" s="96"/>
      <c r="Z1080" s="95"/>
      <c r="AB1080" s="94"/>
    </row>
    <row r="1081" spans="24:28" hidden="1">
      <c r="X1081" s="96"/>
      <c r="Y1081" s="96"/>
      <c r="Z1081" s="95"/>
      <c r="AB1081" s="94"/>
    </row>
    <row r="1082" spans="24:28" hidden="1">
      <c r="X1082" s="96"/>
      <c r="Y1082" s="96"/>
      <c r="Z1082" s="95"/>
      <c r="AB1082" s="94"/>
    </row>
    <row r="1083" spans="24:28" hidden="1">
      <c r="X1083" s="96"/>
      <c r="Y1083" s="96"/>
      <c r="Z1083" s="95"/>
      <c r="AB1083" s="94"/>
    </row>
    <row r="1084" spans="24:28" hidden="1">
      <c r="X1084" s="96"/>
      <c r="Y1084" s="96"/>
      <c r="Z1084" s="95"/>
      <c r="AB1084" s="94"/>
    </row>
    <row r="1085" spans="24:28" hidden="1">
      <c r="X1085" s="96"/>
      <c r="Y1085" s="96"/>
      <c r="Z1085" s="95"/>
      <c r="AB1085" s="94"/>
    </row>
    <row r="1086" spans="24:28" hidden="1">
      <c r="X1086" s="96"/>
      <c r="Y1086" s="96"/>
      <c r="Z1086" s="95"/>
      <c r="AB1086" s="94"/>
    </row>
    <row r="1087" spans="24:28" hidden="1">
      <c r="X1087" s="96"/>
      <c r="Y1087" s="96"/>
      <c r="Z1087" s="95"/>
      <c r="AB1087" s="94"/>
    </row>
    <row r="1088" spans="24:28" hidden="1">
      <c r="X1088" s="96"/>
      <c r="Y1088" s="96"/>
      <c r="Z1088" s="95"/>
      <c r="AB1088" s="94"/>
    </row>
    <row r="1089" spans="24:28" hidden="1">
      <c r="X1089" s="96"/>
      <c r="Y1089" s="96"/>
      <c r="Z1089" s="95"/>
      <c r="AB1089" s="94"/>
    </row>
    <row r="1090" spans="24:28" hidden="1">
      <c r="X1090" s="96"/>
      <c r="Y1090" s="96"/>
      <c r="Z1090" s="95"/>
      <c r="AB1090" s="94"/>
    </row>
    <row r="1091" spans="24:28" hidden="1">
      <c r="X1091" s="96"/>
      <c r="Y1091" s="96"/>
      <c r="Z1091" s="95"/>
      <c r="AB1091" s="94"/>
    </row>
    <row r="1092" spans="24:28" hidden="1">
      <c r="X1092" s="96"/>
      <c r="Y1092" s="96"/>
      <c r="Z1092" s="95"/>
      <c r="AB1092" s="94"/>
    </row>
    <row r="1093" spans="24:28" hidden="1">
      <c r="X1093" s="96"/>
      <c r="Y1093" s="96"/>
      <c r="Z1093" s="95"/>
      <c r="AB1093" s="94"/>
    </row>
    <row r="1094" spans="24:28" hidden="1">
      <c r="X1094" s="96"/>
      <c r="Y1094" s="96"/>
      <c r="Z1094" s="95"/>
      <c r="AB1094" s="94"/>
    </row>
    <row r="1095" spans="24:28" hidden="1">
      <c r="X1095" s="96"/>
      <c r="Y1095" s="96"/>
      <c r="Z1095" s="95"/>
      <c r="AB1095" s="94"/>
    </row>
    <row r="1096" spans="24:28" hidden="1">
      <c r="X1096" s="96"/>
      <c r="Y1096" s="96"/>
      <c r="Z1096" s="95"/>
      <c r="AB1096" s="94"/>
    </row>
    <row r="1097" spans="24:28" hidden="1">
      <c r="X1097" s="96"/>
      <c r="Y1097" s="96"/>
      <c r="Z1097" s="95"/>
      <c r="AB1097" s="94"/>
    </row>
    <row r="1098" spans="24:28" hidden="1">
      <c r="X1098" s="96"/>
      <c r="Y1098" s="96"/>
      <c r="Z1098" s="95"/>
      <c r="AB1098" s="94"/>
    </row>
    <row r="1099" spans="24:28" hidden="1">
      <c r="X1099" s="96"/>
      <c r="Y1099" s="96"/>
      <c r="Z1099" s="95"/>
      <c r="AB1099" s="94"/>
    </row>
    <row r="1100" spans="24:28" hidden="1">
      <c r="X1100" s="96"/>
      <c r="Y1100" s="96"/>
      <c r="Z1100" s="95"/>
      <c r="AB1100" s="94"/>
    </row>
    <row r="1101" spans="24:28" hidden="1">
      <c r="X1101" s="96"/>
      <c r="Y1101" s="96"/>
      <c r="Z1101" s="95"/>
      <c r="AB1101" s="94"/>
    </row>
    <row r="1102" spans="24:28" hidden="1">
      <c r="X1102" s="96"/>
      <c r="Y1102" s="96"/>
      <c r="Z1102" s="95"/>
      <c r="AB1102" s="94"/>
    </row>
    <row r="1103" spans="24:28" hidden="1">
      <c r="X1103" s="96"/>
      <c r="Y1103" s="96"/>
      <c r="Z1103" s="95"/>
      <c r="AB1103" s="94"/>
    </row>
    <row r="1104" spans="24:28" hidden="1">
      <c r="X1104" s="96"/>
      <c r="Y1104" s="96"/>
      <c r="Z1104" s="95"/>
      <c r="AB1104" s="94"/>
    </row>
    <row r="1105" spans="24:28" hidden="1">
      <c r="X1105" s="96"/>
      <c r="Y1105" s="96"/>
      <c r="Z1105" s="95"/>
      <c r="AB1105" s="94"/>
    </row>
    <row r="1106" spans="24:28" hidden="1">
      <c r="X1106" s="96"/>
      <c r="Y1106" s="96"/>
      <c r="Z1106" s="95"/>
      <c r="AB1106" s="94"/>
    </row>
    <row r="1107" spans="24:28" hidden="1">
      <c r="X1107" s="96"/>
      <c r="Y1107" s="96"/>
      <c r="Z1107" s="95"/>
      <c r="AB1107" s="94"/>
    </row>
    <row r="1108" spans="24:28" hidden="1">
      <c r="X1108" s="96"/>
      <c r="Y1108" s="96"/>
      <c r="Z1108" s="95"/>
      <c r="AB1108" s="94"/>
    </row>
    <row r="1109" spans="24:28" hidden="1">
      <c r="X1109" s="96"/>
      <c r="Y1109" s="96"/>
      <c r="Z1109" s="95"/>
      <c r="AB1109" s="94"/>
    </row>
    <row r="1110" spans="24:28" hidden="1">
      <c r="X1110" s="96"/>
      <c r="Y1110" s="96"/>
      <c r="Z1110" s="95"/>
      <c r="AB1110" s="94"/>
    </row>
    <row r="1111" spans="24:28" hidden="1">
      <c r="X1111" s="96"/>
      <c r="Y1111" s="96"/>
      <c r="Z1111" s="95"/>
      <c r="AB1111" s="94"/>
    </row>
    <row r="1112" spans="24:28" hidden="1">
      <c r="X1112" s="96"/>
      <c r="Y1112" s="96"/>
      <c r="Z1112" s="95"/>
      <c r="AB1112" s="94"/>
    </row>
    <row r="1113" spans="24:28" hidden="1">
      <c r="X1113" s="96"/>
      <c r="Y1113" s="96"/>
      <c r="Z1113" s="95"/>
      <c r="AB1113" s="94"/>
    </row>
    <row r="1114" spans="24:28" hidden="1">
      <c r="X1114" s="96"/>
      <c r="Y1114" s="96"/>
      <c r="Z1114" s="95"/>
      <c r="AB1114" s="94"/>
    </row>
    <row r="1115" spans="24:28" hidden="1">
      <c r="X1115" s="96"/>
      <c r="Y1115" s="96"/>
      <c r="Z1115" s="95"/>
      <c r="AB1115" s="94"/>
    </row>
    <row r="1116" spans="24:28" hidden="1">
      <c r="X1116" s="96"/>
      <c r="Y1116" s="96"/>
      <c r="Z1116" s="95"/>
      <c r="AB1116" s="94"/>
    </row>
    <row r="1117" spans="24:28" hidden="1">
      <c r="X1117" s="96"/>
      <c r="Y1117" s="96"/>
      <c r="Z1117" s="95"/>
      <c r="AB1117" s="94"/>
    </row>
    <row r="1118" spans="24:28" hidden="1">
      <c r="X1118" s="96"/>
      <c r="Y1118" s="96"/>
      <c r="Z1118" s="95"/>
      <c r="AB1118" s="94"/>
    </row>
    <row r="1119" spans="24:28" hidden="1">
      <c r="X1119" s="96"/>
      <c r="Y1119" s="96"/>
      <c r="Z1119" s="95"/>
      <c r="AB1119" s="94"/>
    </row>
    <row r="1120" spans="24:28" hidden="1">
      <c r="X1120" s="96"/>
      <c r="Y1120" s="96"/>
      <c r="Z1120" s="95"/>
      <c r="AB1120" s="94"/>
    </row>
    <row r="1121" spans="24:28" hidden="1">
      <c r="X1121" s="96"/>
      <c r="Y1121" s="96"/>
      <c r="Z1121" s="95"/>
      <c r="AB1121" s="94"/>
    </row>
    <row r="1122" spans="24:28" hidden="1">
      <c r="X1122" s="96"/>
      <c r="Y1122" s="96"/>
      <c r="Z1122" s="95"/>
      <c r="AB1122" s="94"/>
    </row>
    <row r="1123" spans="24:28" hidden="1">
      <c r="X1123" s="96"/>
      <c r="Y1123" s="96"/>
      <c r="Z1123" s="95"/>
      <c r="AB1123" s="94"/>
    </row>
    <row r="1124" spans="24:28" hidden="1">
      <c r="X1124" s="96"/>
      <c r="Y1124" s="96"/>
      <c r="Z1124" s="95"/>
      <c r="AB1124" s="94"/>
    </row>
    <row r="1125" spans="24:28" hidden="1">
      <c r="X1125" s="96"/>
      <c r="Y1125" s="96"/>
      <c r="Z1125" s="95"/>
      <c r="AB1125" s="94"/>
    </row>
    <row r="1126" spans="24:28" hidden="1">
      <c r="X1126" s="96"/>
      <c r="Y1126" s="96"/>
      <c r="Z1126" s="95"/>
      <c r="AB1126" s="94"/>
    </row>
    <row r="1127" spans="24:28" hidden="1">
      <c r="X1127" s="96"/>
      <c r="Y1127" s="96"/>
      <c r="Z1127" s="95"/>
      <c r="AB1127" s="94"/>
    </row>
    <row r="1128" spans="24:28" hidden="1">
      <c r="X1128" s="96"/>
      <c r="Y1128" s="96"/>
      <c r="Z1128" s="95"/>
      <c r="AB1128" s="94"/>
    </row>
    <row r="1129" spans="24:28" hidden="1">
      <c r="X1129" s="96"/>
      <c r="Y1129" s="96"/>
      <c r="Z1129" s="95"/>
      <c r="AB1129" s="94"/>
    </row>
    <row r="1130" spans="24:28" hidden="1">
      <c r="X1130" s="96"/>
      <c r="Y1130" s="96"/>
      <c r="Z1130" s="95"/>
      <c r="AB1130" s="94"/>
    </row>
    <row r="1131" spans="24:28" hidden="1">
      <c r="X1131" s="96"/>
      <c r="Y1131" s="96"/>
      <c r="Z1131" s="95"/>
      <c r="AB1131" s="94"/>
    </row>
    <row r="1132" spans="24:28" hidden="1">
      <c r="X1132" s="96"/>
      <c r="Y1132" s="96"/>
      <c r="Z1132" s="95"/>
      <c r="AB1132" s="94"/>
    </row>
    <row r="1133" spans="24:28" hidden="1">
      <c r="X1133" s="96"/>
      <c r="Y1133" s="96"/>
      <c r="Z1133" s="95"/>
      <c r="AB1133" s="94"/>
    </row>
    <row r="1134" spans="24:28" hidden="1">
      <c r="X1134" s="96"/>
      <c r="Y1134" s="96"/>
      <c r="Z1134" s="95"/>
      <c r="AB1134" s="94"/>
    </row>
    <row r="1135" spans="24:28" hidden="1">
      <c r="X1135" s="96"/>
      <c r="Y1135" s="96"/>
      <c r="Z1135" s="95"/>
      <c r="AB1135" s="94"/>
    </row>
    <row r="1136" spans="24:28" hidden="1">
      <c r="X1136" s="96"/>
      <c r="Y1136" s="96"/>
      <c r="Z1136" s="95"/>
      <c r="AB1136" s="94"/>
    </row>
    <row r="1137" spans="24:28" hidden="1">
      <c r="X1137" s="96"/>
      <c r="Y1137" s="96"/>
      <c r="Z1137" s="95"/>
      <c r="AB1137" s="94"/>
    </row>
    <row r="1138" spans="24:28" hidden="1">
      <c r="X1138" s="96"/>
      <c r="Y1138" s="96"/>
      <c r="Z1138" s="95"/>
      <c r="AB1138" s="94"/>
    </row>
    <row r="1139" spans="24:28" hidden="1">
      <c r="X1139" s="96"/>
      <c r="Y1139" s="96"/>
      <c r="Z1139" s="95"/>
      <c r="AB1139" s="94"/>
    </row>
    <row r="1140" spans="24:28" hidden="1">
      <c r="X1140" s="96"/>
      <c r="Y1140" s="96"/>
      <c r="Z1140" s="95"/>
      <c r="AB1140" s="94"/>
    </row>
    <row r="1141" spans="24:28" hidden="1">
      <c r="X1141" s="96"/>
      <c r="Y1141" s="96"/>
      <c r="Z1141" s="95"/>
      <c r="AB1141" s="94"/>
    </row>
    <row r="1142" spans="24:28" hidden="1">
      <c r="X1142" s="96"/>
      <c r="Y1142" s="96"/>
      <c r="Z1142" s="95"/>
      <c r="AB1142" s="94"/>
    </row>
    <row r="1143" spans="24:28" hidden="1">
      <c r="X1143" s="96"/>
      <c r="Y1143" s="96"/>
      <c r="Z1143" s="95"/>
      <c r="AB1143" s="94"/>
    </row>
    <row r="1144" spans="24:28" hidden="1">
      <c r="X1144" s="96"/>
      <c r="Y1144" s="96"/>
      <c r="Z1144" s="95"/>
      <c r="AB1144" s="94"/>
    </row>
    <row r="1145" spans="24:28" hidden="1">
      <c r="X1145" s="96"/>
      <c r="Y1145" s="96"/>
      <c r="Z1145" s="95"/>
      <c r="AB1145" s="94"/>
    </row>
    <row r="1146" spans="24:28" hidden="1">
      <c r="X1146" s="96"/>
      <c r="Y1146" s="96"/>
      <c r="Z1146" s="95"/>
      <c r="AB1146" s="94"/>
    </row>
    <row r="1147" spans="24:28" hidden="1">
      <c r="X1147" s="96"/>
      <c r="Y1147" s="96"/>
      <c r="Z1147" s="95"/>
      <c r="AB1147" s="94"/>
    </row>
    <row r="1148" spans="24:28" hidden="1">
      <c r="X1148" s="96"/>
      <c r="Y1148" s="96"/>
      <c r="Z1148" s="95"/>
      <c r="AB1148" s="94"/>
    </row>
    <row r="1149" spans="24:28" hidden="1">
      <c r="X1149" s="96"/>
      <c r="Y1149" s="96"/>
      <c r="Z1149" s="95"/>
      <c r="AB1149" s="94"/>
    </row>
    <row r="1150" spans="24:28" hidden="1">
      <c r="X1150" s="96"/>
      <c r="Y1150" s="96"/>
      <c r="Z1150" s="95"/>
      <c r="AB1150" s="94"/>
    </row>
    <row r="1151" spans="24:28" hidden="1">
      <c r="X1151" s="96"/>
      <c r="Y1151" s="96"/>
      <c r="Z1151" s="95"/>
      <c r="AB1151" s="94"/>
    </row>
    <row r="1152" spans="24:28" hidden="1">
      <c r="X1152" s="96"/>
      <c r="Y1152" s="96"/>
      <c r="Z1152" s="95"/>
      <c r="AB1152" s="94"/>
    </row>
    <row r="1153" spans="24:28" hidden="1">
      <c r="X1153" s="96"/>
      <c r="Y1153" s="96"/>
      <c r="Z1153" s="95"/>
      <c r="AB1153" s="94"/>
    </row>
    <row r="1154" spans="24:28" hidden="1">
      <c r="X1154" s="96"/>
      <c r="Y1154" s="96"/>
      <c r="Z1154" s="95"/>
      <c r="AB1154" s="94"/>
    </row>
    <row r="1155" spans="24:28" hidden="1">
      <c r="X1155" s="96"/>
      <c r="Y1155" s="96"/>
      <c r="Z1155" s="95"/>
      <c r="AB1155" s="94"/>
    </row>
    <row r="1156" spans="24:28" hidden="1">
      <c r="X1156" s="96"/>
      <c r="Y1156" s="96"/>
      <c r="Z1156" s="95"/>
      <c r="AB1156" s="94"/>
    </row>
    <row r="1157" spans="24:28" hidden="1">
      <c r="X1157" s="96"/>
      <c r="Y1157" s="96"/>
      <c r="Z1157" s="95"/>
      <c r="AB1157" s="94"/>
    </row>
    <row r="1158" spans="24:28" hidden="1">
      <c r="X1158" s="96"/>
      <c r="Y1158" s="96"/>
      <c r="Z1158" s="95"/>
      <c r="AB1158" s="94"/>
    </row>
    <row r="1159" spans="24:28" hidden="1">
      <c r="X1159" s="96"/>
      <c r="Y1159" s="96"/>
      <c r="Z1159" s="95"/>
      <c r="AB1159" s="94"/>
    </row>
    <row r="1160" spans="24:28" hidden="1">
      <c r="X1160" s="96"/>
      <c r="Y1160" s="96"/>
      <c r="Z1160" s="95"/>
      <c r="AB1160" s="94"/>
    </row>
    <row r="1161" spans="24:28" hidden="1">
      <c r="X1161" s="96"/>
      <c r="Y1161" s="96"/>
      <c r="Z1161" s="95"/>
      <c r="AB1161" s="94"/>
    </row>
    <row r="1162" spans="24:28" hidden="1">
      <c r="X1162" s="96"/>
      <c r="Y1162" s="96"/>
      <c r="Z1162" s="95"/>
      <c r="AB1162" s="94"/>
    </row>
    <row r="1163" spans="24:28" hidden="1">
      <c r="X1163" s="96"/>
      <c r="Y1163" s="96"/>
      <c r="Z1163" s="95"/>
      <c r="AB1163" s="94"/>
    </row>
    <row r="1164" spans="24:28" hidden="1">
      <c r="X1164" s="96"/>
      <c r="Y1164" s="96"/>
      <c r="Z1164" s="95"/>
      <c r="AB1164" s="94"/>
    </row>
    <row r="1165" spans="24:28" hidden="1">
      <c r="X1165" s="96"/>
      <c r="Y1165" s="96"/>
      <c r="Z1165" s="95"/>
      <c r="AB1165" s="94"/>
    </row>
    <row r="1166" spans="24:28" hidden="1">
      <c r="X1166" s="96"/>
      <c r="Y1166" s="96"/>
      <c r="Z1166" s="95"/>
      <c r="AB1166" s="94"/>
    </row>
    <row r="1167" spans="24:28" hidden="1">
      <c r="X1167" s="96"/>
      <c r="Y1167" s="96"/>
      <c r="Z1167" s="95"/>
      <c r="AB1167" s="94"/>
    </row>
    <row r="1168" spans="24:28" hidden="1">
      <c r="X1168" s="96"/>
      <c r="Y1168" s="96"/>
      <c r="Z1168" s="95"/>
      <c r="AB1168" s="94"/>
    </row>
    <row r="1169" spans="23:41" hidden="1">
      <c r="X1169" s="96"/>
      <c r="Y1169" s="96"/>
      <c r="Z1169" s="95"/>
      <c r="AB1169" s="94"/>
    </row>
    <row r="1170" spans="23:41" hidden="1">
      <c r="X1170" s="96"/>
      <c r="Y1170" s="96"/>
      <c r="Z1170" s="95"/>
      <c r="AB1170" s="94"/>
    </row>
    <row r="1171" spans="23:41" hidden="1">
      <c r="X1171" s="96"/>
      <c r="Y1171" s="96"/>
      <c r="Z1171" s="95"/>
      <c r="AB1171" s="94"/>
    </row>
    <row r="1172" spans="23:41" hidden="1">
      <c r="X1172" s="96"/>
      <c r="Y1172" s="96"/>
      <c r="Z1172" s="95"/>
      <c r="AB1172" s="94"/>
    </row>
    <row r="1173" spans="23:41" hidden="1">
      <c r="X1173" s="96"/>
      <c r="Y1173" s="96"/>
      <c r="Z1173" s="95"/>
      <c r="AB1173" s="94"/>
    </row>
    <row r="1174" spans="23:41" hidden="1"/>
    <row r="1175" spans="23:41" hidden="1"/>
    <row r="1176" spans="23:41" hidden="1">
      <c r="X1176" s="35"/>
    </row>
    <row r="1177" spans="23:41" hidden="1">
      <c r="X1177" s="35"/>
    </row>
    <row r="1178" spans="23:41" hidden="1">
      <c r="X1178" s="92"/>
    </row>
    <row r="1179" spans="23:41" hidden="1">
      <c r="X1179" s="92"/>
    </row>
    <row r="1180" spans="23:41" hidden="1"/>
    <row r="1181" spans="23:41" hidden="1">
      <c r="AF1181" s="36"/>
      <c r="AG1181" s="36"/>
      <c r="AH1181" s="36"/>
      <c r="AI1181" s="36"/>
      <c r="AJ1181" s="36"/>
      <c r="AK1181" s="36"/>
      <c r="AL1181" s="36"/>
      <c r="AM1181" s="36"/>
      <c r="AN1181" s="36"/>
      <c r="AO1181" s="36"/>
    </row>
    <row r="1182" spans="23:41" hidden="1">
      <c r="W1182" s="36"/>
      <c r="X1182" s="36"/>
      <c r="Y1182" s="36"/>
      <c r="Z1182" s="36"/>
      <c r="AA1182" s="36"/>
      <c r="AB1182" s="36"/>
      <c r="AE1182" s="89"/>
      <c r="AF1182" s="93"/>
      <c r="AG1182" s="93"/>
      <c r="AH1182" s="93"/>
      <c r="AI1182" s="93"/>
      <c r="AJ1182" s="93"/>
      <c r="AK1182" s="93"/>
      <c r="AL1182" s="93"/>
      <c r="AM1182" s="93"/>
      <c r="AN1182" s="93"/>
      <c r="AO1182" s="93"/>
    </row>
    <row r="1183" spans="23:41" hidden="1"/>
    <row r="1184" spans="23:41" hidden="1">
      <c r="X1184" s="94"/>
      <c r="Y1184" s="94"/>
      <c r="Z1184" s="95"/>
      <c r="AB1184" s="94"/>
      <c r="AE1184" s="94"/>
    </row>
    <row r="1185" spans="23:41" hidden="1">
      <c r="X1185" s="94"/>
      <c r="Y1185" s="94"/>
      <c r="Z1185" s="95"/>
      <c r="AB1185" s="94"/>
      <c r="AE1185" s="94"/>
    </row>
    <row r="1186" spans="23:41" hidden="1">
      <c r="X1186" s="94"/>
      <c r="Y1186" s="94"/>
      <c r="Z1186" s="95"/>
      <c r="AB1186" s="94"/>
      <c r="AF1186" s="94"/>
      <c r="AG1186" s="94"/>
      <c r="AH1186" s="94"/>
      <c r="AI1186" s="94"/>
      <c r="AJ1186" s="94"/>
      <c r="AK1186" s="94"/>
      <c r="AL1186" s="94"/>
      <c r="AM1186" s="94"/>
      <c r="AN1186" s="94"/>
      <c r="AO1186" s="94"/>
    </row>
    <row r="1187" spans="23:41" hidden="1">
      <c r="X1187" s="94"/>
      <c r="Y1187" s="94"/>
      <c r="Z1187" s="95"/>
      <c r="AB1187" s="94"/>
      <c r="AF1187" s="94"/>
      <c r="AG1187" s="94"/>
      <c r="AH1187" s="94"/>
      <c r="AI1187" s="94"/>
      <c r="AJ1187" s="94"/>
      <c r="AK1187" s="94"/>
      <c r="AL1187" s="94"/>
      <c r="AM1187" s="94"/>
      <c r="AN1187" s="94"/>
      <c r="AO1187" s="94"/>
    </row>
    <row r="1188" spans="23:41" hidden="1">
      <c r="X1188" s="94"/>
      <c r="Y1188" s="94"/>
      <c r="Z1188" s="95"/>
      <c r="AB1188" s="94"/>
      <c r="AF1188" s="94"/>
      <c r="AG1188" s="94"/>
      <c r="AH1188" s="94"/>
      <c r="AI1188" s="94"/>
      <c r="AJ1188" s="94"/>
      <c r="AK1188" s="94"/>
      <c r="AL1188" s="94"/>
      <c r="AM1188" s="94"/>
      <c r="AN1188" s="94"/>
      <c r="AO1188" s="94"/>
    </row>
    <row r="1189" spans="23:41">
      <c r="X1189" s="94"/>
      <c r="Y1189" s="94"/>
      <c r="Z1189" s="95"/>
      <c r="AB1189" s="94"/>
    </row>
    <row r="1190" spans="23:41">
      <c r="X1190" s="94"/>
      <c r="Y1190" s="94"/>
      <c r="Z1190" s="95"/>
      <c r="AB1190" s="94"/>
      <c r="AE1190" s="94"/>
      <c r="AF1190" s="94"/>
      <c r="AG1190" s="94"/>
      <c r="AH1190" s="94"/>
      <c r="AI1190" s="94"/>
      <c r="AJ1190" s="94"/>
      <c r="AK1190" s="94"/>
      <c r="AL1190" s="94"/>
      <c r="AM1190" s="94"/>
      <c r="AN1190" s="94"/>
      <c r="AO1190" s="94"/>
    </row>
    <row r="1191" spans="23:41">
      <c r="X1191" s="94"/>
      <c r="Y1191" s="94"/>
      <c r="Z1191" s="95"/>
      <c r="AB1191" s="94"/>
    </row>
    <row r="1192" spans="23:41">
      <c r="X1192" s="94"/>
      <c r="Y1192" s="94"/>
      <c r="Z1192" s="95"/>
      <c r="AB1192" s="94"/>
    </row>
    <row r="1193" spans="23:41">
      <c r="X1193" s="94"/>
      <c r="Y1193" s="94"/>
      <c r="Z1193" s="95"/>
      <c r="AB1193" s="94"/>
    </row>
    <row r="1194" spans="23:41">
      <c r="W1194" s="91"/>
    </row>
    <row r="1196" spans="23:41">
      <c r="W1196" s="36"/>
      <c r="X1196" s="36"/>
      <c r="Y1196" s="36"/>
      <c r="Z1196" s="36"/>
      <c r="AA1196" s="36"/>
      <c r="AB1196" s="36"/>
    </row>
    <row r="1198" spans="23:41">
      <c r="X1198" s="96"/>
      <c r="Y1198" s="96"/>
      <c r="Z1198" s="95"/>
      <c r="AB1198" s="94"/>
    </row>
    <row r="1199" spans="23:41">
      <c r="X1199" s="96"/>
      <c r="Y1199" s="96"/>
      <c r="Z1199" s="95"/>
      <c r="AB1199" s="94"/>
    </row>
    <row r="1200" spans="23:41">
      <c r="X1200" s="96"/>
      <c r="Y1200" s="96"/>
      <c r="Z1200" s="95"/>
      <c r="AB1200" s="94"/>
    </row>
    <row r="1201" spans="24:28">
      <c r="X1201" s="96"/>
      <c r="Y1201" s="96"/>
      <c r="Z1201" s="95"/>
      <c r="AB1201" s="94"/>
    </row>
    <row r="1202" spans="24:28">
      <c r="X1202" s="96"/>
      <c r="Y1202" s="96"/>
      <c r="Z1202" s="95"/>
      <c r="AB1202" s="94"/>
    </row>
    <row r="1203" spans="24:28">
      <c r="X1203" s="96"/>
      <c r="Y1203" s="96"/>
      <c r="Z1203" s="95"/>
      <c r="AB1203" s="94"/>
    </row>
    <row r="1204" spans="24:28">
      <c r="X1204" s="96"/>
      <c r="Y1204" s="96"/>
      <c r="Z1204" s="95"/>
      <c r="AB1204" s="94"/>
    </row>
    <row r="1205" spans="24:28">
      <c r="X1205" s="96"/>
      <c r="Y1205" s="96"/>
      <c r="Z1205" s="95"/>
      <c r="AB1205" s="94"/>
    </row>
    <row r="1206" spans="24:28">
      <c r="X1206" s="96"/>
      <c r="Y1206" s="96"/>
      <c r="Z1206" s="95"/>
      <c r="AB1206" s="94"/>
    </row>
    <row r="1207" spans="24:28">
      <c r="X1207" s="96"/>
      <c r="Y1207" s="96"/>
      <c r="Z1207" s="95"/>
      <c r="AB1207" s="94"/>
    </row>
    <row r="1208" spans="24:28">
      <c r="X1208" s="96"/>
      <c r="Y1208" s="96"/>
      <c r="Z1208" s="95"/>
      <c r="AB1208" s="94"/>
    </row>
    <row r="1209" spans="24:28">
      <c r="X1209" s="96"/>
      <c r="Y1209" s="96"/>
      <c r="Z1209" s="95"/>
      <c r="AB1209" s="94"/>
    </row>
    <row r="1210" spans="24:28">
      <c r="X1210" s="96"/>
      <c r="Y1210" s="96"/>
      <c r="Z1210" s="95"/>
      <c r="AB1210" s="94"/>
    </row>
    <row r="1211" spans="24:28" hidden="1">
      <c r="X1211" s="96"/>
      <c r="Y1211" s="96"/>
      <c r="Z1211" s="95"/>
      <c r="AB1211" s="94"/>
    </row>
    <row r="1212" spans="24:28" hidden="1">
      <c r="X1212" s="96"/>
      <c r="Y1212" s="96"/>
      <c r="Z1212" s="95"/>
      <c r="AB1212" s="94"/>
    </row>
    <row r="1213" spans="24:28" hidden="1">
      <c r="X1213" s="96"/>
      <c r="Y1213" s="96"/>
      <c r="Z1213" s="95"/>
      <c r="AB1213" s="94"/>
    </row>
    <row r="1214" spans="24:28" hidden="1">
      <c r="X1214" s="96"/>
      <c r="Y1214" s="96"/>
      <c r="Z1214" s="95"/>
      <c r="AB1214" s="94"/>
    </row>
    <row r="1215" spans="24:28" hidden="1">
      <c r="X1215" s="96"/>
      <c r="Y1215" s="96"/>
      <c r="Z1215" s="95"/>
      <c r="AB1215" s="94"/>
    </row>
    <row r="1216" spans="24:28" hidden="1">
      <c r="X1216" s="96"/>
      <c r="Y1216" s="96"/>
      <c r="Z1216" s="95"/>
      <c r="AB1216" s="94"/>
    </row>
    <row r="1217" spans="24:28" hidden="1">
      <c r="X1217" s="96"/>
      <c r="Y1217" s="96"/>
      <c r="Z1217" s="95"/>
      <c r="AB1217" s="94"/>
    </row>
    <row r="1218" spans="24:28" hidden="1">
      <c r="X1218" s="96"/>
      <c r="Y1218" s="96"/>
      <c r="Z1218" s="95"/>
      <c r="AB1218" s="94"/>
    </row>
    <row r="1219" spans="24:28" hidden="1">
      <c r="X1219" s="96"/>
      <c r="Y1219" s="96"/>
      <c r="Z1219" s="95"/>
      <c r="AB1219" s="94"/>
    </row>
    <row r="1220" spans="24:28" hidden="1">
      <c r="X1220" s="96"/>
      <c r="Y1220" s="96"/>
      <c r="Z1220" s="95"/>
      <c r="AB1220" s="94"/>
    </row>
    <row r="1221" spans="24:28" hidden="1">
      <c r="X1221" s="96"/>
      <c r="Y1221" s="96"/>
      <c r="Z1221" s="95"/>
      <c r="AB1221" s="94"/>
    </row>
    <row r="1222" spans="24:28" hidden="1">
      <c r="X1222" s="96"/>
      <c r="Y1222" s="96"/>
      <c r="Z1222" s="95"/>
      <c r="AB1222" s="94"/>
    </row>
    <row r="1223" spans="24:28" hidden="1">
      <c r="X1223" s="96"/>
      <c r="Y1223" s="96"/>
      <c r="Z1223" s="95"/>
      <c r="AB1223" s="94"/>
    </row>
    <row r="1224" spans="24:28" hidden="1">
      <c r="X1224" s="96"/>
      <c r="Y1224" s="96"/>
      <c r="Z1224" s="95"/>
      <c r="AB1224" s="94"/>
    </row>
    <row r="1225" spans="24:28" hidden="1">
      <c r="X1225" s="96"/>
      <c r="Y1225" s="96"/>
      <c r="Z1225" s="95"/>
      <c r="AB1225" s="94"/>
    </row>
    <row r="1226" spans="24:28" hidden="1">
      <c r="X1226" s="96"/>
      <c r="Y1226" s="96"/>
      <c r="Z1226" s="95"/>
      <c r="AB1226" s="94"/>
    </row>
    <row r="1227" spans="24:28" hidden="1">
      <c r="X1227" s="96"/>
      <c r="Y1227" s="96"/>
      <c r="Z1227" s="95"/>
      <c r="AB1227" s="94"/>
    </row>
    <row r="1228" spans="24:28" hidden="1">
      <c r="X1228" s="96"/>
      <c r="Y1228" s="96"/>
      <c r="Z1228" s="95"/>
      <c r="AB1228" s="94"/>
    </row>
    <row r="1229" spans="24:28" hidden="1">
      <c r="X1229" s="96"/>
      <c r="Y1229" s="96"/>
      <c r="Z1229" s="95"/>
      <c r="AB1229" s="94"/>
    </row>
    <row r="1230" spans="24:28" hidden="1">
      <c r="X1230" s="96"/>
      <c r="Y1230" s="96"/>
      <c r="Z1230" s="95"/>
      <c r="AB1230" s="94"/>
    </row>
    <row r="1231" spans="24:28" hidden="1">
      <c r="X1231" s="96"/>
      <c r="Y1231" s="96"/>
      <c r="Z1231" s="95"/>
      <c r="AB1231" s="94"/>
    </row>
    <row r="1232" spans="24:28" hidden="1">
      <c r="X1232" s="96"/>
      <c r="Y1232" s="96"/>
      <c r="Z1232" s="95"/>
      <c r="AB1232" s="94"/>
    </row>
    <row r="1233" spans="24:28" hidden="1">
      <c r="X1233" s="96"/>
      <c r="Y1233" s="96"/>
      <c r="Z1233" s="95"/>
      <c r="AB1233" s="94"/>
    </row>
    <row r="1234" spans="24:28" hidden="1">
      <c r="X1234" s="96"/>
      <c r="Y1234" s="96"/>
      <c r="Z1234" s="95"/>
      <c r="AB1234" s="94"/>
    </row>
    <row r="1235" spans="24:28" hidden="1">
      <c r="X1235" s="96"/>
      <c r="Y1235" s="96"/>
      <c r="Z1235" s="95"/>
      <c r="AB1235" s="94"/>
    </row>
    <row r="1236" spans="24:28" hidden="1">
      <c r="X1236" s="96"/>
      <c r="Y1236" s="96"/>
      <c r="Z1236" s="95"/>
      <c r="AB1236" s="94"/>
    </row>
    <row r="1237" spans="24:28" hidden="1">
      <c r="X1237" s="96"/>
      <c r="Y1237" s="96"/>
      <c r="Z1237" s="95"/>
      <c r="AB1237" s="94"/>
    </row>
    <row r="1238" spans="24:28" hidden="1">
      <c r="X1238" s="96"/>
      <c r="Y1238" s="96"/>
      <c r="Z1238" s="95"/>
      <c r="AB1238" s="94"/>
    </row>
    <row r="1239" spans="24:28" hidden="1">
      <c r="X1239" s="96"/>
      <c r="Y1239" s="96"/>
      <c r="Z1239" s="95"/>
      <c r="AB1239" s="94"/>
    </row>
    <row r="1240" spans="24:28" hidden="1">
      <c r="X1240" s="96"/>
      <c r="Y1240" s="96"/>
      <c r="Z1240" s="95"/>
      <c r="AB1240" s="94"/>
    </row>
    <row r="1241" spans="24:28" hidden="1">
      <c r="X1241" s="96"/>
      <c r="Y1241" s="96"/>
      <c r="Z1241" s="95"/>
      <c r="AB1241" s="94"/>
    </row>
    <row r="1242" spans="24:28" hidden="1">
      <c r="X1242" s="96"/>
      <c r="Y1242" s="96"/>
      <c r="Z1242" s="95"/>
      <c r="AB1242" s="94"/>
    </row>
    <row r="1243" spans="24:28" hidden="1">
      <c r="X1243" s="96"/>
      <c r="Y1243" s="96"/>
      <c r="Z1243" s="95"/>
      <c r="AB1243" s="94"/>
    </row>
    <row r="1244" spans="24:28" hidden="1">
      <c r="X1244" s="96"/>
      <c r="Y1244" s="96"/>
      <c r="Z1244" s="95"/>
      <c r="AB1244" s="94"/>
    </row>
    <row r="1245" spans="24:28" hidden="1">
      <c r="X1245" s="96"/>
      <c r="Y1245" s="96"/>
      <c r="Z1245" s="95"/>
      <c r="AB1245" s="94"/>
    </row>
    <row r="1246" spans="24:28" hidden="1">
      <c r="X1246" s="96"/>
      <c r="Y1246" s="96"/>
      <c r="Z1246" s="95"/>
      <c r="AB1246" s="94"/>
    </row>
    <row r="1247" spans="24:28" hidden="1">
      <c r="X1247" s="96"/>
      <c r="Y1247" s="96"/>
      <c r="Z1247" s="95"/>
      <c r="AB1247" s="94"/>
    </row>
    <row r="1248" spans="24:28" hidden="1">
      <c r="X1248" s="96"/>
      <c r="Y1248" s="96"/>
      <c r="Z1248" s="95"/>
      <c r="AB1248" s="94"/>
    </row>
    <row r="1249" spans="24:28" hidden="1">
      <c r="X1249" s="96"/>
      <c r="Y1249" s="96"/>
      <c r="Z1249" s="95"/>
      <c r="AB1249" s="94"/>
    </row>
    <row r="1250" spans="24:28" hidden="1">
      <c r="X1250" s="96"/>
      <c r="Y1250" s="96"/>
      <c r="Z1250" s="95"/>
      <c r="AB1250" s="94"/>
    </row>
    <row r="1251" spans="24:28" hidden="1">
      <c r="X1251" s="96"/>
      <c r="Y1251" s="96"/>
      <c r="Z1251" s="95"/>
      <c r="AB1251" s="94"/>
    </row>
    <row r="1252" spans="24:28" hidden="1">
      <c r="X1252" s="96"/>
      <c r="Y1252" s="96"/>
      <c r="Z1252" s="95"/>
      <c r="AB1252" s="94"/>
    </row>
    <row r="1253" spans="24:28" hidden="1">
      <c r="X1253" s="96"/>
      <c r="Y1253" s="96"/>
      <c r="Z1253" s="95"/>
      <c r="AB1253" s="94"/>
    </row>
    <row r="1254" spans="24:28" hidden="1">
      <c r="X1254" s="96"/>
      <c r="Y1254" s="96"/>
      <c r="Z1254" s="95"/>
      <c r="AB1254" s="94"/>
    </row>
    <row r="1255" spans="24:28" hidden="1">
      <c r="X1255" s="96"/>
      <c r="Y1255" s="96"/>
      <c r="Z1255" s="95"/>
      <c r="AB1255" s="94"/>
    </row>
    <row r="1256" spans="24:28" hidden="1">
      <c r="X1256" s="96"/>
      <c r="Y1256" s="96"/>
      <c r="Z1256" s="95"/>
      <c r="AB1256" s="94"/>
    </row>
    <row r="1257" spans="24:28" hidden="1">
      <c r="X1257" s="96"/>
      <c r="Y1257" s="96"/>
      <c r="Z1257" s="95"/>
      <c r="AB1257" s="94"/>
    </row>
    <row r="1258" spans="24:28" hidden="1">
      <c r="X1258" s="96"/>
      <c r="Y1258" s="96"/>
      <c r="Z1258" s="95"/>
      <c r="AB1258" s="94"/>
    </row>
    <row r="1259" spans="24:28" hidden="1">
      <c r="X1259" s="96"/>
      <c r="Y1259" s="96"/>
      <c r="Z1259" s="95"/>
      <c r="AB1259" s="94"/>
    </row>
    <row r="1260" spans="24:28" hidden="1">
      <c r="X1260" s="96"/>
      <c r="Y1260" s="96"/>
      <c r="Z1260" s="95"/>
      <c r="AB1260" s="94"/>
    </row>
    <row r="1261" spans="24:28" hidden="1">
      <c r="X1261" s="96"/>
      <c r="Y1261" s="96"/>
      <c r="Z1261" s="95"/>
      <c r="AB1261" s="94"/>
    </row>
    <row r="1262" spans="24:28" hidden="1">
      <c r="X1262" s="96"/>
      <c r="Y1262" s="96"/>
      <c r="Z1262" s="95"/>
      <c r="AB1262" s="94"/>
    </row>
    <row r="1263" spans="24:28" hidden="1">
      <c r="X1263" s="96"/>
      <c r="Y1263" s="96"/>
      <c r="Z1263" s="95"/>
      <c r="AB1263" s="94"/>
    </row>
    <row r="1264" spans="24:28" hidden="1">
      <c r="X1264" s="96"/>
      <c r="Y1264" s="96"/>
      <c r="Z1264" s="95"/>
      <c r="AB1264" s="94"/>
    </row>
    <row r="1265" spans="24:28" hidden="1">
      <c r="X1265" s="96"/>
      <c r="Y1265" s="96"/>
      <c r="Z1265" s="95"/>
      <c r="AB1265" s="94"/>
    </row>
    <row r="1266" spans="24:28" hidden="1">
      <c r="X1266" s="96"/>
      <c r="Y1266" s="96"/>
      <c r="Z1266" s="95"/>
      <c r="AB1266" s="94"/>
    </row>
    <row r="1267" spans="24:28" hidden="1">
      <c r="X1267" s="96"/>
      <c r="Y1267" s="96"/>
      <c r="Z1267" s="95"/>
      <c r="AB1267" s="94"/>
    </row>
    <row r="1268" spans="24:28" hidden="1">
      <c r="X1268" s="96"/>
      <c r="Y1268" s="96"/>
      <c r="Z1268" s="95"/>
      <c r="AB1268" s="94"/>
    </row>
    <row r="1269" spans="24:28" hidden="1">
      <c r="X1269" s="96"/>
      <c r="Y1269" s="96"/>
      <c r="Z1269" s="95"/>
      <c r="AB1269" s="94"/>
    </row>
    <row r="1270" spans="24:28" hidden="1">
      <c r="X1270" s="96"/>
      <c r="Y1270" s="96"/>
      <c r="Z1270" s="95"/>
      <c r="AB1270" s="94"/>
    </row>
    <row r="1271" spans="24:28" hidden="1">
      <c r="X1271" s="96"/>
      <c r="Y1271" s="96"/>
      <c r="Z1271" s="95"/>
      <c r="AB1271" s="94"/>
    </row>
    <row r="1272" spans="24:28" hidden="1">
      <c r="X1272" s="96"/>
      <c r="Y1272" s="96"/>
      <c r="Z1272" s="95"/>
      <c r="AB1272" s="94"/>
    </row>
    <row r="1273" spans="24:28" hidden="1">
      <c r="X1273" s="96"/>
      <c r="Y1273" s="96"/>
      <c r="Z1273" s="95"/>
      <c r="AB1273" s="94"/>
    </row>
    <row r="1274" spans="24:28" hidden="1">
      <c r="X1274" s="96"/>
      <c r="Y1274" s="96"/>
      <c r="Z1274" s="95"/>
      <c r="AB1274" s="94"/>
    </row>
    <row r="1275" spans="24:28" hidden="1">
      <c r="X1275" s="96"/>
      <c r="Y1275" s="96"/>
      <c r="Z1275" s="95"/>
      <c r="AB1275" s="94"/>
    </row>
    <row r="1276" spans="24:28" hidden="1">
      <c r="X1276" s="96"/>
      <c r="Y1276" s="96"/>
      <c r="Z1276" s="95"/>
      <c r="AB1276" s="94"/>
    </row>
    <row r="1277" spans="24:28" hidden="1">
      <c r="X1277" s="96"/>
      <c r="Y1277" s="96"/>
      <c r="Z1277" s="95"/>
      <c r="AB1277" s="94"/>
    </row>
    <row r="1278" spans="24:28" hidden="1">
      <c r="X1278" s="96"/>
      <c r="Y1278" s="96"/>
      <c r="Z1278" s="95"/>
      <c r="AB1278" s="94"/>
    </row>
    <row r="1279" spans="24:28" hidden="1">
      <c r="X1279" s="96"/>
      <c r="Y1279" s="96"/>
      <c r="Z1279" s="95"/>
      <c r="AB1279" s="94"/>
    </row>
    <row r="1280" spans="24:28" hidden="1">
      <c r="X1280" s="96"/>
      <c r="Y1280" s="96"/>
      <c r="Z1280" s="95"/>
      <c r="AB1280" s="94"/>
    </row>
    <row r="1281" spans="24:28" hidden="1">
      <c r="X1281" s="96"/>
      <c r="Y1281" s="96"/>
      <c r="Z1281" s="95"/>
      <c r="AB1281" s="94"/>
    </row>
    <row r="1282" spans="24:28" hidden="1">
      <c r="X1282" s="96"/>
      <c r="Y1282" s="96"/>
      <c r="Z1282" s="95"/>
      <c r="AB1282" s="94"/>
    </row>
    <row r="1283" spans="24:28" hidden="1">
      <c r="X1283" s="96"/>
      <c r="Y1283" s="96"/>
      <c r="Z1283" s="95"/>
      <c r="AB1283" s="94"/>
    </row>
    <row r="1284" spans="24:28" hidden="1">
      <c r="X1284" s="96"/>
      <c r="Y1284" s="96"/>
      <c r="Z1284" s="95"/>
      <c r="AB1284" s="94"/>
    </row>
    <row r="1285" spans="24:28" hidden="1">
      <c r="X1285" s="96"/>
      <c r="Y1285" s="96"/>
      <c r="Z1285" s="95"/>
      <c r="AB1285" s="94"/>
    </row>
    <row r="1286" spans="24:28" hidden="1">
      <c r="X1286" s="96"/>
      <c r="Y1286" s="96"/>
      <c r="Z1286" s="95"/>
      <c r="AB1286" s="94"/>
    </row>
    <row r="1287" spans="24:28" hidden="1">
      <c r="X1287" s="96"/>
      <c r="Y1287" s="96"/>
      <c r="Z1287" s="95"/>
      <c r="AB1287" s="94"/>
    </row>
    <row r="1288" spans="24:28" hidden="1">
      <c r="X1288" s="96"/>
      <c r="Y1288" s="96"/>
      <c r="Z1288" s="95"/>
      <c r="AB1288" s="94"/>
    </row>
    <row r="1289" spans="24:28" hidden="1">
      <c r="X1289" s="96"/>
      <c r="Y1289" s="96"/>
      <c r="Z1289" s="95"/>
      <c r="AB1289" s="94"/>
    </row>
    <row r="1290" spans="24:28" hidden="1">
      <c r="X1290" s="96"/>
      <c r="Y1290" s="96"/>
      <c r="Z1290" s="95"/>
      <c r="AB1290" s="94"/>
    </row>
    <row r="1291" spans="24:28" hidden="1">
      <c r="X1291" s="96"/>
      <c r="Y1291" s="96"/>
      <c r="Z1291" s="95"/>
      <c r="AB1291" s="94"/>
    </row>
    <row r="1292" spans="24:28" hidden="1">
      <c r="X1292" s="96"/>
      <c r="Y1292" s="96"/>
      <c r="Z1292" s="95"/>
      <c r="AB1292" s="94"/>
    </row>
    <row r="1293" spans="24:28" hidden="1">
      <c r="X1293" s="96"/>
      <c r="Y1293" s="96"/>
      <c r="Z1293" s="95"/>
      <c r="AB1293" s="94"/>
    </row>
    <row r="1294" spans="24:28" hidden="1">
      <c r="X1294" s="96"/>
      <c r="Y1294" s="96"/>
      <c r="Z1294" s="95"/>
      <c r="AB1294" s="94"/>
    </row>
    <row r="1295" spans="24:28" hidden="1">
      <c r="X1295" s="96"/>
      <c r="Y1295" s="96"/>
      <c r="Z1295" s="95"/>
      <c r="AB1295" s="94"/>
    </row>
    <row r="1296" spans="24:28" hidden="1">
      <c r="X1296" s="96"/>
      <c r="Y1296" s="96"/>
      <c r="Z1296" s="95"/>
      <c r="AB1296" s="94"/>
    </row>
    <row r="1297" spans="24:28" hidden="1">
      <c r="X1297" s="96"/>
      <c r="Y1297" s="96"/>
      <c r="Z1297" s="95"/>
      <c r="AB1297" s="94"/>
    </row>
    <row r="1298" spans="24:28" hidden="1">
      <c r="X1298" s="96"/>
      <c r="Y1298" s="96"/>
      <c r="Z1298" s="95"/>
      <c r="AB1298" s="94"/>
    </row>
    <row r="1299" spans="24:28" hidden="1">
      <c r="X1299" s="96"/>
      <c r="Y1299" s="96"/>
      <c r="Z1299" s="95"/>
      <c r="AB1299" s="94"/>
    </row>
    <row r="1300" spans="24:28" hidden="1">
      <c r="X1300" s="96"/>
      <c r="Y1300" s="96"/>
      <c r="Z1300" s="95"/>
      <c r="AB1300" s="94"/>
    </row>
    <row r="1301" spans="24:28" hidden="1">
      <c r="X1301" s="96"/>
      <c r="Y1301" s="96"/>
      <c r="Z1301" s="95"/>
      <c r="AB1301" s="94"/>
    </row>
    <row r="1302" spans="24:28" hidden="1">
      <c r="X1302" s="96"/>
      <c r="Y1302" s="96"/>
      <c r="Z1302" s="95"/>
      <c r="AB1302" s="94"/>
    </row>
    <row r="1303" spans="24:28" hidden="1">
      <c r="X1303" s="96"/>
      <c r="Y1303" s="96"/>
      <c r="Z1303" s="95"/>
      <c r="AB1303" s="94"/>
    </row>
    <row r="1304" spans="24:28" hidden="1">
      <c r="X1304" s="96"/>
      <c r="Y1304" s="96"/>
      <c r="Z1304" s="95"/>
      <c r="AB1304" s="94"/>
    </row>
    <row r="1305" spans="24:28" hidden="1">
      <c r="X1305" s="96"/>
      <c r="Y1305" s="96"/>
      <c r="Z1305" s="95"/>
      <c r="AB1305" s="94"/>
    </row>
    <row r="1306" spans="24:28" hidden="1">
      <c r="X1306" s="96"/>
      <c r="Y1306" s="96"/>
      <c r="Z1306" s="95"/>
      <c r="AB1306" s="94"/>
    </row>
    <row r="1307" spans="24:28" hidden="1">
      <c r="X1307" s="96"/>
      <c r="Y1307" s="96"/>
      <c r="Z1307" s="95"/>
      <c r="AB1307" s="94"/>
    </row>
    <row r="1308" spans="24:28" hidden="1">
      <c r="X1308" s="96"/>
      <c r="Y1308" s="96"/>
      <c r="Z1308" s="95"/>
      <c r="AB1308" s="94"/>
    </row>
    <row r="1309" spans="24:28" hidden="1">
      <c r="X1309" s="96"/>
      <c r="Y1309" s="96"/>
      <c r="Z1309" s="95"/>
      <c r="AB1309" s="94"/>
    </row>
    <row r="1310" spans="24:28" hidden="1">
      <c r="X1310" s="96"/>
      <c r="Y1310" s="96"/>
      <c r="Z1310" s="95"/>
      <c r="AB1310" s="94"/>
    </row>
    <row r="1311" spans="24:28" hidden="1">
      <c r="X1311" s="96"/>
      <c r="Y1311" s="96"/>
      <c r="Z1311" s="95"/>
      <c r="AB1311" s="94"/>
    </row>
    <row r="1312" spans="24:28" hidden="1">
      <c r="X1312" s="96"/>
      <c r="Y1312" s="96"/>
      <c r="Z1312" s="95"/>
      <c r="AB1312" s="94"/>
    </row>
    <row r="1313" spans="23:41" hidden="1">
      <c r="X1313" s="96"/>
      <c r="Y1313" s="96"/>
      <c r="Z1313" s="95"/>
      <c r="AB1313" s="94"/>
    </row>
    <row r="1314" spans="23:41" hidden="1">
      <c r="X1314" s="96"/>
      <c r="Y1314" s="96"/>
      <c r="Z1314" s="95"/>
      <c r="AB1314" s="94"/>
    </row>
    <row r="1315" spans="23:41" hidden="1">
      <c r="X1315" s="96"/>
      <c r="Y1315" s="96"/>
      <c r="Z1315" s="95"/>
      <c r="AB1315" s="94"/>
    </row>
    <row r="1316" spans="23:41" hidden="1">
      <c r="X1316" s="96"/>
      <c r="Y1316" s="96"/>
      <c r="Z1316" s="95"/>
      <c r="AB1316" s="94"/>
    </row>
    <row r="1317" spans="23:41" hidden="1">
      <c r="X1317" s="96"/>
      <c r="Y1317" s="96"/>
      <c r="Z1317" s="95"/>
      <c r="AB1317" s="94"/>
    </row>
    <row r="1318" spans="23:41" hidden="1"/>
    <row r="1319" spans="23:41" hidden="1"/>
    <row r="1320" spans="23:41" hidden="1">
      <c r="X1320" s="35"/>
    </row>
    <row r="1321" spans="23:41" hidden="1">
      <c r="X1321" s="35"/>
    </row>
    <row r="1322" spans="23:41" hidden="1">
      <c r="X1322" s="92"/>
    </row>
    <row r="1323" spans="23:41" hidden="1">
      <c r="X1323" s="92"/>
    </row>
    <row r="1324" spans="23:41" hidden="1"/>
    <row r="1325" spans="23:41" hidden="1">
      <c r="AF1325" s="36"/>
      <c r="AG1325" s="36"/>
      <c r="AH1325" s="36"/>
      <c r="AI1325" s="36"/>
      <c r="AJ1325" s="36"/>
      <c r="AK1325" s="36"/>
      <c r="AL1325" s="36"/>
      <c r="AM1325" s="36"/>
      <c r="AN1325" s="36"/>
      <c r="AO1325" s="36"/>
    </row>
    <row r="1326" spans="23:41" hidden="1">
      <c r="W1326" s="36"/>
      <c r="X1326" s="36"/>
      <c r="Y1326" s="36"/>
      <c r="Z1326" s="36"/>
      <c r="AA1326" s="36"/>
      <c r="AB1326" s="36"/>
      <c r="AE1326" s="89"/>
      <c r="AF1326" s="93"/>
      <c r="AG1326" s="93"/>
      <c r="AH1326" s="93"/>
      <c r="AI1326" s="93"/>
      <c r="AJ1326" s="93"/>
      <c r="AK1326" s="93"/>
      <c r="AL1326" s="93"/>
      <c r="AM1326" s="93"/>
      <c r="AN1326" s="93"/>
      <c r="AO1326" s="93"/>
    </row>
    <row r="1327" spans="23:41" hidden="1"/>
    <row r="1328" spans="23:41" hidden="1">
      <c r="X1328" s="94"/>
      <c r="Y1328" s="94"/>
      <c r="Z1328" s="95"/>
      <c r="AB1328" s="94"/>
      <c r="AE1328" s="94"/>
    </row>
    <row r="1329" spans="23:41" hidden="1">
      <c r="X1329" s="94"/>
      <c r="Y1329" s="94"/>
      <c r="Z1329" s="95"/>
      <c r="AB1329" s="94"/>
      <c r="AE1329" s="94"/>
    </row>
    <row r="1330" spans="23:41" hidden="1">
      <c r="X1330" s="94"/>
      <c r="Y1330" s="94"/>
      <c r="Z1330" s="95"/>
      <c r="AB1330" s="94"/>
      <c r="AF1330" s="94"/>
      <c r="AG1330" s="94"/>
      <c r="AH1330" s="94"/>
      <c r="AI1330" s="94"/>
      <c r="AJ1330" s="94"/>
      <c r="AK1330" s="94"/>
      <c r="AL1330" s="94"/>
      <c r="AM1330" s="94"/>
      <c r="AN1330" s="94"/>
      <c r="AO1330" s="94"/>
    </row>
    <row r="1331" spans="23:41" hidden="1">
      <c r="X1331" s="94"/>
      <c r="Y1331" s="94"/>
      <c r="Z1331" s="95"/>
      <c r="AB1331" s="94"/>
      <c r="AF1331" s="94"/>
      <c r="AG1331" s="94"/>
      <c r="AH1331" s="94"/>
      <c r="AI1331" s="94"/>
      <c r="AJ1331" s="94"/>
      <c r="AK1331" s="94"/>
      <c r="AL1331" s="94"/>
      <c r="AM1331" s="94"/>
      <c r="AN1331" s="94"/>
      <c r="AO1331" s="94"/>
    </row>
    <row r="1332" spans="23:41" hidden="1">
      <c r="X1332" s="94"/>
      <c r="Y1332" s="94"/>
      <c r="Z1332" s="95"/>
      <c r="AB1332" s="94"/>
      <c r="AF1332" s="94"/>
      <c r="AG1332" s="94"/>
      <c r="AH1332" s="94"/>
      <c r="AI1332" s="94"/>
      <c r="AJ1332" s="94"/>
      <c r="AK1332" s="94"/>
      <c r="AL1332" s="94"/>
      <c r="AM1332" s="94"/>
      <c r="AN1332" s="94"/>
      <c r="AO1332" s="94"/>
    </row>
    <row r="1333" spans="23:41">
      <c r="X1333" s="94"/>
      <c r="Y1333" s="94"/>
      <c r="Z1333" s="95"/>
      <c r="AB1333" s="94"/>
    </row>
    <row r="1334" spans="23:41">
      <c r="X1334" s="94"/>
      <c r="Y1334" s="94"/>
      <c r="Z1334" s="95"/>
      <c r="AB1334" s="94"/>
      <c r="AE1334" s="94"/>
      <c r="AF1334" s="94"/>
      <c r="AG1334" s="94"/>
      <c r="AH1334" s="94"/>
      <c r="AI1334" s="94"/>
      <c r="AJ1334" s="94"/>
      <c r="AK1334" s="94"/>
      <c r="AL1334" s="94"/>
      <c r="AM1334" s="94"/>
      <c r="AN1334" s="94"/>
      <c r="AO1334" s="94"/>
    </row>
    <row r="1335" spans="23:41">
      <c r="X1335" s="94"/>
      <c r="Y1335" s="94"/>
      <c r="Z1335" s="95"/>
      <c r="AB1335" s="94"/>
    </row>
    <row r="1336" spans="23:41">
      <c r="X1336" s="94"/>
      <c r="Y1336" s="94"/>
      <c r="Z1336" s="95"/>
      <c r="AB1336" s="94"/>
    </row>
    <row r="1337" spans="23:41">
      <c r="X1337" s="94"/>
      <c r="Y1337" s="94"/>
      <c r="Z1337" s="95"/>
      <c r="AB1337" s="94"/>
    </row>
    <row r="1338" spans="23:41">
      <c r="W1338" s="91"/>
    </row>
    <row r="1340" spans="23:41">
      <c r="W1340" s="36"/>
      <c r="X1340" s="36"/>
      <c r="Y1340" s="36"/>
      <c r="Z1340" s="36"/>
      <c r="AA1340" s="36"/>
      <c r="AB1340" s="36"/>
    </row>
    <row r="1342" spans="23:41">
      <c r="X1342" s="96"/>
      <c r="Y1342" s="96"/>
      <c r="Z1342" s="95"/>
      <c r="AB1342" s="94"/>
    </row>
    <row r="1343" spans="23:41">
      <c r="X1343" s="96"/>
      <c r="Y1343" s="96"/>
      <c r="Z1343" s="95"/>
      <c r="AB1343" s="94"/>
    </row>
    <row r="1344" spans="23:41">
      <c r="X1344" s="96"/>
      <c r="Y1344" s="96"/>
      <c r="Z1344" s="95"/>
      <c r="AB1344" s="94"/>
    </row>
    <row r="1345" spans="24:28">
      <c r="X1345" s="96"/>
      <c r="Y1345" s="96"/>
      <c r="Z1345" s="95"/>
      <c r="AB1345" s="94"/>
    </row>
    <row r="1346" spans="24:28">
      <c r="X1346" s="96"/>
      <c r="Y1346" s="96"/>
      <c r="Z1346" s="95"/>
      <c r="AB1346" s="94"/>
    </row>
    <row r="1347" spans="24:28">
      <c r="X1347" s="96"/>
      <c r="Y1347" s="96"/>
      <c r="Z1347" s="95"/>
      <c r="AB1347" s="94"/>
    </row>
    <row r="1348" spans="24:28">
      <c r="X1348" s="96"/>
      <c r="Y1348" s="96"/>
      <c r="Z1348" s="95"/>
      <c r="AB1348" s="94"/>
    </row>
    <row r="1349" spans="24:28">
      <c r="X1349" s="96"/>
      <c r="Y1349" s="96"/>
      <c r="Z1349" s="95"/>
      <c r="AB1349" s="94"/>
    </row>
    <row r="1350" spans="24:28">
      <c r="X1350" s="96"/>
      <c r="Y1350" s="96"/>
      <c r="Z1350" s="95"/>
      <c r="AB1350" s="94"/>
    </row>
    <row r="1351" spans="24:28">
      <c r="X1351" s="96"/>
      <c r="Y1351" s="96"/>
      <c r="Z1351" s="95"/>
      <c r="AB1351" s="94"/>
    </row>
    <row r="1352" spans="24:28">
      <c r="X1352" s="96"/>
      <c r="Y1352" s="96"/>
      <c r="Z1352" s="95"/>
      <c r="AB1352" s="94"/>
    </row>
    <row r="1353" spans="24:28">
      <c r="X1353" s="96"/>
      <c r="Y1353" s="96"/>
      <c r="Z1353" s="95"/>
      <c r="AB1353" s="94"/>
    </row>
    <row r="1354" spans="24:28">
      <c r="X1354" s="96"/>
      <c r="Y1354" s="96"/>
      <c r="Z1354" s="95"/>
      <c r="AB1354" s="94"/>
    </row>
    <row r="1355" spans="24:28" hidden="1">
      <c r="X1355" s="96"/>
      <c r="Y1355" s="96"/>
      <c r="Z1355" s="95"/>
      <c r="AB1355" s="94"/>
    </row>
    <row r="1356" spans="24:28" hidden="1">
      <c r="X1356" s="96"/>
      <c r="Y1356" s="96"/>
      <c r="Z1356" s="95"/>
      <c r="AB1356" s="94"/>
    </row>
    <row r="1357" spans="24:28" hidden="1">
      <c r="X1357" s="96"/>
      <c r="Y1357" s="96"/>
      <c r="Z1357" s="95"/>
      <c r="AB1357" s="94"/>
    </row>
    <row r="1358" spans="24:28" hidden="1">
      <c r="X1358" s="96"/>
      <c r="Y1358" s="96"/>
      <c r="Z1358" s="95"/>
      <c r="AB1358" s="94"/>
    </row>
    <row r="1359" spans="24:28" hidden="1">
      <c r="X1359" s="96"/>
      <c r="Y1359" s="96"/>
      <c r="Z1359" s="95"/>
      <c r="AB1359" s="94"/>
    </row>
    <row r="1360" spans="24:28" hidden="1">
      <c r="X1360" s="96"/>
      <c r="Y1360" s="96"/>
      <c r="Z1360" s="95"/>
      <c r="AB1360" s="94"/>
    </row>
    <row r="1361" spans="24:28" hidden="1">
      <c r="X1361" s="96"/>
      <c r="Y1361" s="96"/>
      <c r="Z1361" s="95"/>
      <c r="AB1361" s="94"/>
    </row>
    <row r="1362" spans="24:28" hidden="1">
      <c r="X1362" s="96"/>
      <c r="Y1362" s="96"/>
      <c r="Z1362" s="95"/>
      <c r="AB1362" s="94"/>
    </row>
    <row r="1363" spans="24:28" hidden="1">
      <c r="X1363" s="96"/>
      <c r="Y1363" s="96"/>
      <c r="Z1363" s="95"/>
      <c r="AB1363" s="94"/>
    </row>
    <row r="1364" spans="24:28" hidden="1">
      <c r="X1364" s="96"/>
      <c r="Y1364" s="96"/>
      <c r="Z1364" s="95"/>
      <c r="AB1364" s="94"/>
    </row>
    <row r="1365" spans="24:28" hidden="1">
      <c r="X1365" s="96"/>
      <c r="Y1365" s="96"/>
      <c r="Z1365" s="95"/>
      <c r="AB1365" s="94"/>
    </row>
    <row r="1366" spans="24:28" hidden="1">
      <c r="X1366" s="96"/>
      <c r="Y1366" s="96"/>
      <c r="Z1366" s="95"/>
      <c r="AB1366" s="94"/>
    </row>
    <row r="1367" spans="24:28" hidden="1">
      <c r="X1367" s="96"/>
      <c r="Y1367" s="96"/>
      <c r="Z1367" s="95"/>
      <c r="AB1367" s="94"/>
    </row>
    <row r="1368" spans="24:28" hidden="1">
      <c r="X1368" s="96"/>
      <c r="Y1368" s="96"/>
      <c r="Z1368" s="95"/>
      <c r="AB1368" s="94"/>
    </row>
    <row r="1369" spans="24:28" hidden="1">
      <c r="X1369" s="96"/>
      <c r="Y1369" s="96"/>
      <c r="Z1369" s="95"/>
      <c r="AB1369" s="94"/>
    </row>
    <row r="1370" spans="24:28" hidden="1">
      <c r="X1370" s="96"/>
      <c r="Y1370" s="96"/>
      <c r="Z1370" s="95"/>
      <c r="AB1370" s="94"/>
    </row>
    <row r="1371" spans="24:28" hidden="1">
      <c r="X1371" s="96"/>
      <c r="Y1371" s="96"/>
      <c r="Z1371" s="95"/>
      <c r="AB1371" s="94"/>
    </row>
    <row r="1372" spans="24:28" hidden="1">
      <c r="X1372" s="96"/>
      <c r="Y1372" s="96"/>
      <c r="Z1372" s="95"/>
      <c r="AB1372" s="94"/>
    </row>
    <row r="1373" spans="24:28" hidden="1">
      <c r="X1373" s="96"/>
      <c r="Y1373" s="96"/>
      <c r="Z1373" s="95"/>
      <c r="AB1373" s="94"/>
    </row>
    <row r="1374" spans="24:28" hidden="1">
      <c r="X1374" s="96"/>
      <c r="Y1374" s="96"/>
      <c r="Z1374" s="95"/>
      <c r="AB1374" s="94"/>
    </row>
    <row r="1375" spans="24:28" hidden="1">
      <c r="X1375" s="96"/>
      <c r="Y1375" s="96"/>
      <c r="Z1375" s="95"/>
      <c r="AB1375" s="94"/>
    </row>
    <row r="1376" spans="24:28" hidden="1">
      <c r="X1376" s="96"/>
      <c r="Y1376" s="96"/>
      <c r="Z1376" s="95"/>
      <c r="AB1376" s="94"/>
    </row>
    <row r="1377" spans="24:28" hidden="1">
      <c r="X1377" s="96"/>
      <c r="Y1377" s="96"/>
      <c r="Z1377" s="95"/>
      <c r="AB1377" s="94"/>
    </row>
    <row r="1378" spans="24:28" hidden="1">
      <c r="X1378" s="96"/>
      <c r="Y1378" s="96"/>
      <c r="Z1378" s="95"/>
      <c r="AB1378" s="94"/>
    </row>
    <row r="1379" spans="24:28" hidden="1">
      <c r="X1379" s="96"/>
      <c r="Y1379" s="96"/>
      <c r="Z1379" s="95"/>
      <c r="AB1379" s="94"/>
    </row>
    <row r="1380" spans="24:28" hidden="1">
      <c r="X1380" s="96"/>
      <c r="Y1380" s="96"/>
      <c r="Z1380" s="95"/>
      <c r="AB1380" s="94"/>
    </row>
    <row r="1381" spans="24:28" hidden="1">
      <c r="X1381" s="96"/>
      <c r="Y1381" s="96"/>
      <c r="Z1381" s="95"/>
      <c r="AB1381" s="94"/>
    </row>
    <row r="1382" spans="24:28" hidden="1">
      <c r="X1382" s="96"/>
      <c r="Y1382" s="96"/>
      <c r="Z1382" s="95"/>
      <c r="AB1382" s="94"/>
    </row>
    <row r="1383" spans="24:28" hidden="1">
      <c r="X1383" s="96"/>
      <c r="Y1383" s="96"/>
      <c r="Z1383" s="95"/>
      <c r="AB1383" s="94"/>
    </row>
    <row r="1384" spans="24:28" hidden="1">
      <c r="X1384" s="96"/>
      <c r="Y1384" s="96"/>
      <c r="Z1384" s="95"/>
      <c r="AB1384" s="94"/>
    </row>
    <row r="1385" spans="24:28" hidden="1">
      <c r="X1385" s="96"/>
      <c r="Y1385" s="96"/>
      <c r="Z1385" s="95"/>
      <c r="AB1385" s="94"/>
    </row>
    <row r="1386" spans="24:28" hidden="1">
      <c r="X1386" s="96"/>
      <c r="Y1386" s="96"/>
      <c r="Z1386" s="95"/>
      <c r="AB1386" s="94"/>
    </row>
    <row r="1387" spans="24:28" hidden="1">
      <c r="X1387" s="96"/>
      <c r="Y1387" s="96"/>
      <c r="Z1387" s="95"/>
      <c r="AB1387" s="94"/>
    </row>
    <row r="1388" spans="24:28" hidden="1">
      <c r="X1388" s="96"/>
      <c r="Y1388" s="96"/>
      <c r="Z1388" s="95"/>
      <c r="AB1388" s="94"/>
    </row>
    <row r="1389" spans="24:28" hidden="1">
      <c r="X1389" s="96"/>
      <c r="Y1389" s="96"/>
      <c r="Z1389" s="95"/>
      <c r="AB1389" s="94"/>
    </row>
    <row r="1390" spans="24:28" hidden="1">
      <c r="X1390" s="96"/>
      <c r="Y1390" s="96"/>
      <c r="Z1390" s="95"/>
      <c r="AB1390" s="94"/>
    </row>
    <row r="1391" spans="24:28" hidden="1">
      <c r="X1391" s="96"/>
      <c r="Y1391" s="96"/>
      <c r="Z1391" s="95"/>
      <c r="AB1391" s="94"/>
    </row>
    <row r="1392" spans="24:28" hidden="1">
      <c r="X1392" s="96"/>
      <c r="Y1392" s="96"/>
      <c r="Z1392" s="95"/>
      <c r="AB1392" s="94"/>
    </row>
    <row r="1393" spans="24:28" hidden="1">
      <c r="X1393" s="96"/>
      <c r="Y1393" s="96"/>
      <c r="Z1393" s="95"/>
      <c r="AB1393" s="94"/>
    </row>
    <row r="1394" spans="24:28" hidden="1">
      <c r="X1394" s="96"/>
      <c r="Y1394" s="96"/>
      <c r="Z1394" s="95"/>
      <c r="AB1394" s="94"/>
    </row>
    <row r="1395" spans="24:28" hidden="1">
      <c r="X1395" s="96"/>
      <c r="Y1395" s="96"/>
      <c r="Z1395" s="95"/>
      <c r="AB1395" s="94"/>
    </row>
    <row r="1396" spans="24:28" hidden="1">
      <c r="X1396" s="96"/>
      <c r="Y1396" s="96"/>
      <c r="Z1396" s="95"/>
      <c r="AB1396" s="94"/>
    </row>
    <row r="1397" spans="24:28" hidden="1">
      <c r="X1397" s="96"/>
      <c r="Y1397" s="96"/>
      <c r="Z1397" s="95"/>
      <c r="AB1397" s="94"/>
    </row>
    <row r="1398" spans="24:28" hidden="1">
      <c r="X1398" s="96"/>
      <c r="Y1398" s="96"/>
      <c r="Z1398" s="95"/>
      <c r="AB1398" s="94"/>
    </row>
    <row r="1399" spans="24:28" hidden="1">
      <c r="X1399" s="96"/>
      <c r="Y1399" s="96"/>
      <c r="Z1399" s="95"/>
      <c r="AB1399" s="94"/>
    </row>
    <row r="1400" spans="24:28" hidden="1">
      <c r="X1400" s="96"/>
      <c r="Y1400" s="96"/>
      <c r="Z1400" s="95"/>
      <c r="AB1400" s="94"/>
    </row>
    <row r="1401" spans="24:28" hidden="1">
      <c r="X1401" s="96"/>
      <c r="Y1401" s="96"/>
      <c r="Z1401" s="95"/>
      <c r="AB1401" s="94"/>
    </row>
    <row r="1402" spans="24:28" hidden="1">
      <c r="X1402" s="96"/>
      <c r="Y1402" s="96"/>
      <c r="Z1402" s="95"/>
      <c r="AB1402" s="94"/>
    </row>
    <row r="1403" spans="24:28" hidden="1">
      <c r="X1403" s="96"/>
      <c r="Y1403" s="96"/>
      <c r="Z1403" s="95"/>
      <c r="AB1403" s="94"/>
    </row>
    <row r="1404" spans="24:28" hidden="1">
      <c r="X1404" s="96"/>
      <c r="Y1404" s="96"/>
      <c r="Z1404" s="95"/>
      <c r="AB1404" s="94"/>
    </row>
    <row r="1405" spans="24:28" hidden="1">
      <c r="X1405" s="96"/>
      <c r="Y1405" s="96"/>
      <c r="Z1405" s="95"/>
      <c r="AB1405" s="94"/>
    </row>
    <row r="1406" spans="24:28" hidden="1">
      <c r="X1406" s="96"/>
      <c r="Y1406" s="96"/>
      <c r="Z1406" s="95"/>
      <c r="AB1406" s="94"/>
    </row>
    <row r="1407" spans="24:28" hidden="1">
      <c r="X1407" s="96"/>
      <c r="Y1407" s="96"/>
      <c r="Z1407" s="95"/>
      <c r="AB1407" s="94"/>
    </row>
    <row r="1408" spans="24:28" hidden="1">
      <c r="X1408" s="96"/>
      <c r="Y1408" s="96"/>
      <c r="Z1408" s="95"/>
      <c r="AB1408" s="94"/>
    </row>
    <row r="1409" spans="24:28" hidden="1">
      <c r="X1409" s="96"/>
      <c r="Y1409" s="96"/>
      <c r="Z1409" s="95"/>
      <c r="AB1409" s="94"/>
    </row>
    <row r="1410" spans="24:28" hidden="1">
      <c r="X1410" s="96"/>
      <c r="Y1410" s="96"/>
      <c r="Z1410" s="95"/>
      <c r="AB1410" s="94"/>
    </row>
    <row r="1411" spans="24:28" hidden="1">
      <c r="X1411" s="96"/>
      <c r="Y1411" s="96"/>
      <c r="Z1411" s="95"/>
      <c r="AB1411" s="94"/>
    </row>
    <row r="1412" spans="24:28" hidden="1">
      <c r="X1412" s="96"/>
      <c r="Y1412" s="96"/>
      <c r="Z1412" s="95"/>
      <c r="AB1412" s="94"/>
    </row>
    <row r="1413" spans="24:28" hidden="1">
      <c r="X1413" s="96"/>
      <c r="Y1413" s="96"/>
      <c r="Z1413" s="95"/>
      <c r="AB1413" s="94"/>
    </row>
    <row r="1414" spans="24:28" hidden="1">
      <c r="X1414" s="96"/>
      <c r="Y1414" s="96"/>
      <c r="Z1414" s="95"/>
      <c r="AB1414" s="94"/>
    </row>
    <row r="1415" spans="24:28" hidden="1">
      <c r="X1415" s="96"/>
      <c r="Y1415" s="96"/>
      <c r="Z1415" s="95"/>
      <c r="AB1415" s="94"/>
    </row>
    <row r="1416" spans="24:28" hidden="1">
      <c r="X1416" s="96"/>
      <c r="Y1416" s="96"/>
      <c r="Z1416" s="95"/>
      <c r="AB1416" s="94"/>
    </row>
    <row r="1417" spans="24:28" hidden="1">
      <c r="X1417" s="96"/>
      <c r="Y1417" s="96"/>
      <c r="Z1417" s="95"/>
      <c r="AB1417" s="94"/>
    </row>
    <row r="1418" spans="24:28" hidden="1">
      <c r="X1418" s="96"/>
      <c r="Y1418" s="96"/>
      <c r="Z1418" s="95"/>
      <c r="AB1418" s="94"/>
    </row>
    <row r="1419" spans="24:28" hidden="1">
      <c r="X1419" s="96"/>
      <c r="Y1419" s="96"/>
      <c r="Z1419" s="95"/>
      <c r="AB1419" s="94"/>
    </row>
    <row r="1420" spans="24:28" hidden="1">
      <c r="X1420" s="96"/>
      <c r="Y1420" s="96"/>
      <c r="Z1420" s="95"/>
      <c r="AB1420" s="94"/>
    </row>
    <row r="1421" spans="24:28" hidden="1">
      <c r="X1421" s="96"/>
      <c r="Y1421" s="96"/>
      <c r="Z1421" s="95"/>
      <c r="AB1421" s="94"/>
    </row>
    <row r="1422" spans="24:28" hidden="1">
      <c r="X1422" s="96"/>
      <c r="Y1422" s="96"/>
      <c r="Z1422" s="95"/>
      <c r="AB1422" s="94"/>
    </row>
    <row r="1423" spans="24:28" hidden="1">
      <c r="X1423" s="96"/>
      <c r="Y1423" s="96"/>
      <c r="Z1423" s="95"/>
      <c r="AB1423" s="94"/>
    </row>
    <row r="1424" spans="24:28" hidden="1">
      <c r="X1424" s="96"/>
      <c r="Y1424" s="96"/>
      <c r="Z1424" s="95"/>
      <c r="AB1424" s="94"/>
    </row>
    <row r="1425" spans="24:28" hidden="1">
      <c r="X1425" s="96"/>
      <c r="Y1425" s="96"/>
      <c r="Z1425" s="95"/>
      <c r="AB1425" s="94"/>
    </row>
    <row r="1426" spans="24:28" hidden="1">
      <c r="X1426" s="96"/>
      <c r="Y1426" s="96"/>
      <c r="Z1426" s="95"/>
      <c r="AB1426" s="94"/>
    </row>
    <row r="1427" spans="24:28" hidden="1">
      <c r="X1427" s="96"/>
      <c r="Y1427" s="96"/>
      <c r="Z1427" s="95"/>
      <c r="AB1427" s="94"/>
    </row>
    <row r="1428" spans="24:28" hidden="1">
      <c r="X1428" s="96"/>
      <c r="Y1428" s="96"/>
      <c r="Z1428" s="95"/>
      <c r="AB1428" s="94"/>
    </row>
    <row r="1429" spans="24:28" hidden="1">
      <c r="X1429" s="96"/>
      <c r="Y1429" s="96"/>
      <c r="Z1429" s="95"/>
      <c r="AB1429" s="94"/>
    </row>
    <row r="1430" spans="24:28" hidden="1">
      <c r="X1430" s="96"/>
      <c r="Y1430" s="96"/>
      <c r="Z1430" s="95"/>
      <c r="AB1430" s="94"/>
    </row>
    <row r="1431" spans="24:28" hidden="1">
      <c r="X1431" s="96"/>
      <c r="Y1431" s="96"/>
      <c r="Z1431" s="95"/>
      <c r="AB1431" s="94"/>
    </row>
    <row r="1432" spans="24:28" hidden="1">
      <c r="X1432" s="96"/>
      <c r="Y1432" s="96"/>
      <c r="Z1432" s="95"/>
      <c r="AB1432" s="94"/>
    </row>
    <row r="1433" spans="24:28" hidden="1">
      <c r="X1433" s="96"/>
      <c r="Y1433" s="96"/>
      <c r="Z1433" s="95"/>
      <c r="AB1433" s="94"/>
    </row>
    <row r="1434" spans="24:28" hidden="1">
      <c r="X1434" s="96"/>
      <c r="Y1434" s="96"/>
      <c r="Z1434" s="95"/>
      <c r="AB1434" s="94"/>
    </row>
    <row r="1435" spans="24:28" hidden="1">
      <c r="X1435" s="96"/>
      <c r="Y1435" s="96"/>
      <c r="Z1435" s="95"/>
      <c r="AB1435" s="94"/>
    </row>
    <row r="1436" spans="24:28" hidden="1">
      <c r="X1436" s="96"/>
      <c r="Y1436" s="96"/>
      <c r="Z1436" s="95"/>
      <c r="AB1436" s="94"/>
    </row>
    <row r="1437" spans="24:28" hidden="1">
      <c r="X1437" s="96"/>
      <c r="Y1437" s="96"/>
      <c r="Z1437" s="95"/>
      <c r="AB1437" s="94"/>
    </row>
    <row r="1438" spans="24:28" hidden="1">
      <c r="X1438" s="96"/>
      <c r="Y1438" s="96"/>
      <c r="Z1438" s="95"/>
      <c r="AB1438" s="94"/>
    </row>
    <row r="1439" spans="24:28" hidden="1">
      <c r="X1439" s="96"/>
      <c r="Y1439" s="96"/>
      <c r="Z1439" s="95"/>
      <c r="AB1439" s="94"/>
    </row>
    <row r="1440" spans="24:28" hidden="1">
      <c r="X1440" s="96"/>
      <c r="Y1440" s="96"/>
      <c r="Z1440" s="95"/>
      <c r="AB1440" s="94"/>
    </row>
    <row r="1441" spans="24:28" hidden="1">
      <c r="X1441" s="96"/>
      <c r="Y1441" s="96"/>
      <c r="Z1441" s="95"/>
      <c r="AB1441" s="94"/>
    </row>
    <row r="1442" spans="24:28" hidden="1">
      <c r="X1442" s="96"/>
      <c r="Y1442" s="96"/>
      <c r="Z1442" s="95"/>
      <c r="AB1442" s="94"/>
    </row>
    <row r="1443" spans="24:28" hidden="1">
      <c r="X1443" s="96"/>
      <c r="Y1443" s="96"/>
      <c r="Z1443" s="95"/>
      <c r="AB1443" s="94"/>
    </row>
    <row r="1444" spans="24:28" hidden="1">
      <c r="X1444" s="96"/>
      <c r="Y1444" s="96"/>
      <c r="Z1444" s="95"/>
      <c r="AB1444" s="94"/>
    </row>
    <row r="1445" spans="24:28" hidden="1">
      <c r="X1445" s="96"/>
      <c r="Y1445" s="96"/>
      <c r="Z1445" s="95"/>
      <c r="AB1445" s="94"/>
    </row>
    <row r="1446" spans="24:28" hidden="1">
      <c r="X1446" s="96"/>
      <c r="Y1446" s="96"/>
      <c r="Z1446" s="95"/>
      <c r="AB1446" s="94"/>
    </row>
    <row r="1447" spans="24:28" hidden="1">
      <c r="X1447" s="96"/>
      <c r="Y1447" s="96"/>
      <c r="Z1447" s="95"/>
      <c r="AB1447" s="94"/>
    </row>
    <row r="1448" spans="24:28" hidden="1">
      <c r="X1448" s="96"/>
      <c r="Y1448" s="96"/>
      <c r="Z1448" s="95"/>
      <c r="AB1448" s="94"/>
    </row>
    <row r="1449" spans="24:28" hidden="1">
      <c r="X1449" s="96"/>
      <c r="Y1449" s="96"/>
      <c r="Z1449" s="95"/>
      <c r="AB1449" s="94"/>
    </row>
    <row r="1450" spans="24:28" hidden="1">
      <c r="X1450" s="96"/>
      <c r="Y1450" s="96"/>
      <c r="Z1450" s="95"/>
      <c r="AB1450" s="94"/>
    </row>
    <row r="1451" spans="24:28" hidden="1">
      <c r="X1451" s="96"/>
      <c r="Y1451" s="96"/>
      <c r="Z1451" s="95"/>
      <c r="AB1451" s="94"/>
    </row>
    <row r="1452" spans="24:28" hidden="1">
      <c r="X1452" s="96"/>
      <c r="Y1452" s="96"/>
      <c r="Z1452" s="95"/>
      <c r="AB1452" s="94"/>
    </row>
    <row r="1453" spans="24:28" hidden="1">
      <c r="X1453" s="96"/>
      <c r="Y1453" s="96"/>
      <c r="Z1453" s="95"/>
      <c r="AB1453" s="94"/>
    </row>
    <row r="1454" spans="24:28" hidden="1">
      <c r="X1454" s="96"/>
      <c r="Y1454" s="96"/>
      <c r="Z1454" s="95"/>
      <c r="AB1454" s="94"/>
    </row>
    <row r="1455" spans="24:28" hidden="1">
      <c r="X1455" s="96"/>
      <c r="Y1455" s="96"/>
      <c r="Z1455" s="95"/>
      <c r="AB1455" s="94"/>
    </row>
    <row r="1456" spans="24:28" hidden="1">
      <c r="X1456" s="96"/>
      <c r="Y1456" s="96"/>
      <c r="Z1456" s="95"/>
      <c r="AB1456" s="94"/>
    </row>
    <row r="1457" spans="23:41" hidden="1">
      <c r="X1457" s="96"/>
      <c r="Y1457" s="96"/>
      <c r="Z1457" s="95"/>
      <c r="AB1457" s="94"/>
    </row>
    <row r="1458" spans="23:41" hidden="1">
      <c r="X1458" s="96"/>
      <c r="Y1458" s="96"/>
      <c r="Z1458" s="95"/>
      <c r="AB1458" s="94"/>
    </row>
    <row r="1459" spans="23:41" hidden="1">
      <c r="X1459" s="96"/>
      <c r="Y1459" s="96"/>
      <c r="Z1459" s="95"/>
      <c r="AB1459" s="94"/>
    </row>
    <row r="1460" spans="23:41" hidden="1">
      <c r="X1460" s="96"/>
      <c r="Y1460" s="96"/>
      <c r="Z1460" s="95"/>
      <c r="AB1460" s="94"/>
    </row>
    <row r="1461" spans="23:41" hidden="1">
      <c r="X1461" s="96"/>
      <c r="Y1461" s="96"/>
      <c r="Z1461" s="95"/>
      <c r="AB1461" s="94"/>
    </row>
    <row r="1462" spans="23:41" hidden="1"/>
    <row r="1463" spans="23:41" hidden="1"/>
    <row r="1464" spans="23:41" hidden="1">
      <c r="X1464" s="35"/>
    </row>
    <row r="1465" spans="23:41" hidden="1">
      <c r="X1465" s="35"/>
    </row>
    <row r="1466" spans="23:41" hidden="1">
      <c r="X1466" s="92"/>
    </row>
    <row r="1467" spans="23:41" hidden="1">
      <c r="X1467" s="92"/>
    </row>
    <row r="1468" spans="23:41" hidden="1"/>
    <row r="1469" spans="23:41" hidden="1">
      <c r="AF1469" s="36"/>
      <c r="AG1469" s="36"/>
      <c r="AH1469" s="36"/>
      <c r="AI1469" s="36"/>
      <c r="AJ1469" s="36"/>
      <c r="AK1469" s="36"/>
      <c r="AL1469" s="36"/>
      <c r="AM1469" s="36"/>
      <c r="AN1469" s="36"/>
      <c r="AO1469" s="36"/>
    </row>
    <row r="1470" spans="23:41" hidden="1">
      <c r="W1470" s="36"/>
      <c r="X1470" s="36"/>
      <c r="Y1470" s="36"/>
      <c r="Z1470" s="36"/>
      <c r="AA1470" s="36"/>
      <c r="AB1470" s="36"/>
      <c r="AE1470" s="89"/>
      <c r="AF1470" s="93"/>
      <c r="AG1470" s="93"/>
      <c r="AH1470" s="93"/>
      <c r="AI1470" s="93"/>
      <c r="AJ1470" s="93"/>
      <c r="AK1470" s="93"/>
      <c r="AL1470" s="93"/>
      <c r="AM1470" s="93"/>
      <c r="AN1470" s="93"/>
      <c r="AO1470" s="93"/>
    </row>
    <row r="1471" spans="23:41" hidden="1"/>
    <row r="1472" spans="23:41" hidden="1">
      <c r="X1472" s="94"/>
      <c r="Y1472" s="94"/>
      <c r="Z1472" s="95"/>
      <c r="AB1472" s="94"/>
      <c r="AE1472" s="94"/>
    </row>
    <row r="1473" spans="23:41" hidden="1">
      <c r="X1473" s="94"/>
      <c r="Y1473" s="94"/>
      <c r="Z1473" s="95"/>
      <c r="AB1473" s="94"/>
      <c r="AE1473" s="94"/>
    </row>
    <row r="1474" spans="23:41" hidden="1">
      <c r="X1474" s="94"/>
      <c r="Y1474" s="94"/>
      <c r="Z1474" s="95"/>
      <c r="AB1474" s="94"/>
      <c r="AF1474" s="94"/>
      <c r="AG1474" s="94"/>
      <c r="AH1474" s="94"/>
      <c r="AI1474" s="94"/>
      <c r="AJ1474" s="94"/>
      <c r="AK1474" s="94"/>
      <c r="AL1474" s="94"/>
      <c r="AM1474" s="94"/>
      <c r="AN1474" s="94"/>
      <c r="AO1474" s="94"/>
    </row>
    <row r="1475" spans="23:41" hidden="1">
      <c r="X1475" s="94"/>
      <c r="Y1475" s="94"/>
      <c r="Z1475" s="95"/>
      <c r="AB1475" s="94"/>
      <c r="AF1475" s="94"/>
      <c r="AG1475" s="94"/>
      <c r="AH1475" s="94"/>
      <c r="AI1475" s="94"/>
      <c r="AJ1475" s="94"/>
      <c r="AK1475" s="94"/>
      <c r="AL1475" s="94"/>
      <c r="AM1475" s="94"/>
      <c r="AN1475" s="94"/>
      <c r="AO1475" s="94"/>
    </row>
    <row r="1476" spans="23:41" hidden="1">
      <c r="X1476" s="94"/>
      <c r="Y1476" s="94"/>
      <c r="Z1476" s="95"/>
      <c r="AB1476" s="94"/>
      <c r="AF1476" s="94"/>
      <c r="AG1476" s="94"/>
      <c r="AH1476" s="94"/>
      <c r="AI1476" s="94"/>
      <c r="AJ1476" s="94"/>
      <c r="AK1476" s="94"/>
      <c r="AL1476" s="94"/>
      <c r="AM1476" s="94"/>
      <c r="AN1476" s="94"/>
      <c r="AO1476" s="94"/>
    </row>
    <row r="1477" spans="23:41">
      <c r="X1477" s="94"/>
      <c r="Y1477" s="94"/>
      <c r="Z1477" s="95"/>
      <c r="AB1477" s="94"/>
    </row>
    <row r="1478" spans="23:41">
      <c r="X1478" s="94"/>
      <c r="Y1478" s="94"/>
      <c r="Z1478" s="95"/>
      <c r="AB1478" s="94"/>
      <c r="AE1478" s="94"/>
      <c r="AF1478" s="94"/>
      <c r="AG1478" s="94"/>
      <c r="AH1478" s="94"/>
      <c r="AI1478" s="94"/>
      <c r="AJ1478" s="94"/>
      <c r="AK1478" s="94"/>
      <c r="AL1478" s="94"/>
      <c r="AM1478" s="94"/>
      <c r="AN1478" s="94"/>
      <c r="AO1478" s="94"/>
    </row>
    <row r="1479" spans="23:41">
      <c r="X1479" s="94"/>
      <c r="Y1479" s="94"/>
      <c r="Z1479" s="95"/>
      <c r="AB1479" s="94"/>
    </row>
    <row r="1480" spans="23:41">
      <c r="X1480" s="94"/>
      <c r="Y1480" s="94"/>
      <c r="Z1480" s="95"/>
      <c r="AB1480" s="94"/>
    </row>
    <row r="1481" spans="23:41">
      <c r="X1481" s="94"/>
      <c r="Y1481" s="94"/>
      <c r="Z1481" s="95"/>
      <c r="AB1481" s="94"/>
    </row>
    <row r="1482" spans="23:41">
      <c r="W1482" s="91"/>
    </row>
    <row r="1484" spans="23:41">
      <c r="W1484" s="36"/>
      <c r="X1484" s="36"/>
      <c r="Y1484" s="36"/>
      <c r="Z1484" s="36"/>
      <c r="AA1484" s="36"/>
      <c r="AB1484" s="36"/>
    </row>
    <row r="1486" spans="23:41">
      <c r="X1486" s="96"/>
      <c r="Y1486" s="96"/>
      <c r="Z1486" s="95"/>
      <c r="AB1486" s="94"/>
    </row>
    <row r="1487" spans="23:41">
      <c r="X1487" s="96"/>
      <c r="Y1487" s="96"/>
      <c r="Z1487" s="95"/>
      <c r="AB1487" s="94"/>
    </row>
    <row r="1488" spans="23:41">
      <c r="X1488" s="96"/>
      <c r="Y1488" s="96"/>
      <c r="Z1488" s="95"/>
      <c r="AB1488" s="94"/>
    </row>
    <row r="1489" spans="24:28">
      <c r="X1489" s="96"/>
      <c r="Y1489" s="96"/>
      <c r="Z1489" s="95"/>
      <c r="AB1489" s="94"/>
    </row>
    <row r="1490" spans="24:28">
      <c r="X1490" s="96"/>
      <c r="Y1490" s="96"/>
      <c r="Z1490" s="95"/>
      <c r="AB1490" s="94"/>
    </row>
    <row r="1491" spans="24:28">
      <c r="X1491" s="96"/>
      <c r="Y1491" s="96"/>
      <c r="Z1491" s="95"/>
      <c r="AB1491" s="94"/>
    </row>
    <row r="1492" spans="24:28">
      <c r="X1492" s="96"/>
      <c r="Y1492" s="96"/>
      <c r="Z1492" s="95"/>
      <c r="AB1492" s="94"/>
    </row>
    <row r="1493" spans="24:28">
      <c r="X1493" s="96"/>
      <c r="Y1493" s="96"/>
      <c r="Z1493" s="95"/>
      <c r="AB1493" s="94"/>
    </row>
    <row r="1494" spans="24:28">
      <c r="X1494" s="96"/>
      <c r="Y1494" s="96"/>
      <c r="Z1494" s="95"/>
      <c r="AB1494" s="94"/>
    </row>
    <row r="1495" spans="24:28">
      <c r="X1495" s="96"/>
      <c r="Y1495" s="96"/>
      <c r="Z1495" s="95"/>
      <c r="AB1495" s="94"/>
    </row>
    <row r="1496" spans="24:28">
      <c r="X1496" s="96"/>
      <c r="Y1496" s="96"/>
      <c r="Z1496" s="95"/>
      <c r="AB1496" s="94"/>
    </row>
    <row r="1497" spans="24:28">
      <c r="X1497" s="96"/>
      <c r="Y1497" s="96"/>
      <c r="Z1497" s="95"/>
      <c r="AB1497" s="94"/>
    </row>
    <row r="1498" spans="24:28">
      <c r="X1498" s="96"/>
      <c r="Y1498" s="96"/>
      <c r="Z1498" s="95"/>
      <c r="AB1498" s="94"/>
    </row>
    <row r="1499" spans="24:28" hidden="1">
      <c r="X1499" s="96"/>
      <c r="Y1499" s="96"/>
      <c r="Z1499" s="95"/>
      <c r="AB1499" s="94"/>
    </row>
    <row r="1500" spans="24:28" hidden="1">
      <c r="X1500" s="96"/>
      <c r="Y1500" s="96"/>
      <c r="Z1500" s="95"/>
      <c r="AB1500" s="94"/>
    </row>
    <row r="1501" spans="24:28" hidden="1">
      <c r="X1501" s="96"/>
      <c r="Y1501" s="96"/>
      <c r="Z1501" s="95"/>
      <c r="AB1501" s="94"/>
    </row>
    <row r="1502" spans="24:28" hidden="1">
      <c r="X1502" s="96"/>
      <c r="Y1502" s="96"/>
      <c r="Z1502" s="95"/>
      <c r="AB1502" s="94"/>
    </row>
    <row r="1503" spans="24:28" hidden="1">
      <c r="X1503" s="96"/>
      <c r="Y1503" s="96"/>
      <c r="Z1503" s="95"/>
      <c r="AB1503" s="94"/>
    </row>
    <row r="1504" spans="24:28" hidden="1">
      <c r="X1504" s="96"/>
      <c r="Y1504" s="96"/>
      <c r="Z1504" s="95"/>
      <c r="AB1504" s="94"/>
    </row>
    <row r="1505" spans="24:28" hidden="1">
      <c r="X1505" s="96"/>
      <c r="Y1505" s="96"/>
      <c r="Z1505" s="95"/>
      <c r="AB1505" s="94"/>
    </row>
    <row r="1506" spans="24:28" hidden="1">
      <c r="X1506" s="96"/>
      <c r="Y1506" s="96"/>
      <c r="Z1506" s="95"/>
      <c r="AB1506" s="94"/>
    </row>
    <row r="1507" spans="24:28" hidden="1">
      <c r="X1507" s="96"/>
      <c r="Y1507" s="96"/>
      <c r="Z1507" s="95"/>
      <c r="AB1507" s="94"/>
    </row>
    <row r="1508" spans="24:28" hidden="1">
      <c r="X1508" s="96"/>
      <c r="Y1508" s="96"/>
      <c r="Z1508" s="95"/>
      <c r="AB1508" s="94"/>
    </row>
    <row r="1509" spans="24:28" hidden="1">
      <c r="X1509" s="96"/>
      <c r="Y1509" s="96"/>
      <c r="Z1509" s="95"/>
      <c r="AB1509" s="94"/>
    </row>
    <row r="1510" spans="24:28" hidden="1">
      <c r="X1510" s="96"/>
      <c r="Y1510" s="96"/>
      <c r="Z1510" s="95"/>
      <c r="AB1510" s="94"/>
    </row>
    <row r="1511" spans="24:28" hidden="1">
      <c r="X1511" s="96"/>
      <c r="Y1511" s="96"/>
      <c r="Z1511" s="95"/>
      <c r="AB1511" s="94"/>
    </row>
    <row r="1512" spans="24:28" hidden="1">
      <c r="X1512" s="96"/>
      <c r="Y1512" s="96"/>
      <c r="Z1512" s="95"/>
      <c r="AB1512" s="94"/>
    </row>
    <row r="1513" spans="24:28" hidden="1">
      <c r="X1513" s="96"/>
      <c r="Y1513" s="96"/>
      <c r="Z1513" s="95"/>
      <c r="AB1513" s="94"/>
    </row>
    <row r="1514" spans="24:28" hidden="1">
      <c r="X1514" s="96"/>
      <c r="Y1514" s="96"/>
      <c r="Z1514" s="95"/>
      <c r="AB1514" s="94"/>
    </row>
    <row r="1515" spans="24:28" hidden="1">
      <c r="X1515" s="96"/>
      <c r="Y1515" s="96"/>
      <c r="Z1515" s="95"/>
      <c r="AB1515" s="94"/>
    </row>
    <row r="1516" spans="24:28" hidden="1">
      <c r="X1516" s="96"/>
      <c r="Y1516" s="96"/>
      <c r="Z1516" s="95"/>
      <c r="AB1516" s="94"/>
    </row>
    <row r="1517" spans="24:28" hidden="1">
      <c r="X1517" s="96"/>
      <c r="Y1517" s="96"/>
      <c r="Z1517" s="95"/>
      <c r="AB1517" s="94"/>
    </row>
    <row r="1518" spans="24:28" hidden="1">
      <c r="X1518" s="96"/>
      <c r="Y1518" s="96"/>
      <c r="Z1518" s="95"/>
      <c r="AB1518" s="94"/>
    </row>
    <row r="1519" spans="24:28" hidden="1">
      <c r="X1519" s="96"/>
      <c r="Y1519" s="96"/>
      <c r="Z1519" s="95"/>
      <c r="AB1519" s="94"/>
    </row>
    <row r="1520" spans="24:28" hidden="1">
      <c r="X1520" s="96"/>
      <c r="Y1520" s="96"/>
      <c r="Z1520" s="95"/>
      <c r="AB1520" s="94"/>
    </row>
    <row r="1521" spans="24:28" hidden="1">
      <c r="X1521" s="96"/>
      <c r="Y1521" s="96"/>
      <c r="Z1521" s="95"/>
      <c r="AB1521" s="94"/>
    </row>
    <row r="1522" spans="24:28" hidden="1">
      <c r="X1522" s="96"/>
      <c r="Y1522" s="96"/>
      <c r="Z1522" s="95"/>
      <c r="AB1522" s="94"/>
    </row>
    <row r="1523" spans="24:28" hidden="1">
      <c r="X1523" s="96"/>
      <c r="Y1523" s="96"/>
      <c r="Z1523" s="95"/>
      <c r="AB1523" s="94"/>
    </row>
    <row r="1524" spans="24:28" hidden="1">
      <c r="X1524" s="96"/>
      <c r="Y1524" s="96"/>
      <c r="Z1524" s="95"/>
      <c r="AB1524" s="94"/>
    </row>
    <row r="1525" spans="24:28" hidden="1">
      <c r="X1525" s="96"/>
      <c r="Y1525" s="96"/>
      <c r="Z1525" s="95"/>
      <c r="AB1525" s="94"/>
    </row>
    <row r="1526" spans="24:28" hidden="1">
      <c r="X1526" s="96"/>
      <c r="Y1526" s="96"/>
      <c r="Z1526" s="95"/>
      <c r="AB1526" s="94"/>
    </row>
    <row r="1527" spans="24:28" hidden="1">
      <c r="X1527" s="96"/>
      <c r="Y1527" s="96"/>
      <c r="Z1527" s="95"/>
      <c r="AB1527" s="94"/>
    </row>
    <row r="1528" spans="24:28" hidden="1">
      <c r="X1528" s="96"/>
      <c r="Y1528" s="96"/>
      <c r="Z1528" s="95"/>
      <c r="AB1528" s="94"/>
    </row>
    <row r="1529" spans="24:28" hidden="1">
      <c r="X1529" s="96"/>
      <c r="Y1529" s="96"/>
      <c r="Z1529" s="95"/>
      <c r="AB1529" s="94"/>
    </row>
    <row r="1530" spans="24:28" hidden="1">
      <c r="X1530" s="96"/>
      <c r="Y1530" s="96"/>
      <c r="Z1530" s="95"/>
      <c r="AB1530" s="94"/>
    </row>
    <row r="1531" spans="24:28" hidden="1">
      <c r="X1531" s="96"/>
      <c r="Y1531" s="96"/>
      <c r="Z1531" s="95"/>
      <c r="AB1531" s="94"/>
    </row>
    <row r="1532" spans="24:28" hidden="1">
      <c r="X1532" s="96"/>
      <c r="Y1532" s="96"/>
      <c r="Z1532" s="95"/>
      <c r="AB1532" s="94"/>
    </row>
    <row r="1533" spans="24:28" hidden="1">
      <c r="X1533" s="96"/>
      <c r="Y1533" s="96"/>
      <c r="Z1533" s="95"/>
      <c r="AB1533" s="94"/>
    </row>
    <row r="1534" spans="24:28" hidden="1">
      <c r="X1534" s="96"/>
      <c r="Y1534" s="96"/>
      <c r="Z1534" s="95"/>
      <c r="AB1534" s="94"/>
    </row>
    <row r="1535" spans="24:28" hidden="1">
      <c r="X1535" s="96"/>
      <c r="Y1535" s="96"/>
      <c r="Z1535" s="95"/>
      <c r="AB1535" s="94"/>
    </row>
    <row r="1536" spans="24:28" hidden="1">
      <c r="X1536" s="96"/>
      <c r="Y1536" s="96"/>
      <c r="Z1536" s="95"/>
      <c r="AB1536" s="94"/>
    </row>
    <row r="1537" spans="24:28" hidden="1">
      <c r="X1537" s="96"/>
      <c r="Y1537" s="96"/>
      <c r="Z1537" s="95"/>
      <c r="AB1537" s="94"/>
    </row>
    <row r="1538" spans="24:28" hidden="1">
      <c r="X1538" s="96"/>
      <c r="Y1538" s="96"/>
      <c r="Z1538" s="95"/>
      <c r="AB1538" s="94"/>
    </row>
    <row r="1539" spans="24:28" hidden="1">
      <c r="X1539" s="96"/>
      <c r="Y1539" s="96"/>
      <c r="Z1539" s="95"/>
      <c r="AB1539" s="94"/>
    </row>
    <row r="1540" spans="24:28" hidden="1">
      <c r="X1540" s="96"/>
      <c r="Y1540" s="96"/>
      <c r="Z1540" s="95"/>
      <c r="AB1540" s="94"/>
    </row>
    <row r="1541" spans="24:28" hidden="1">
      <c r="X1541" s="96"/>
      <c r="Y1541" s="96"/>
      <c r="Z1541" s="95"/>
      <c r="AB1541" s="94"/>
    </row>
    <row r="1542" spans="24:28" hidden="1">
      <c r="X1542" s="96"/>
      <c r="Y1542" s="96"/>
      <c r="Z1542" s="95"/>
      <c r="AB1542" s="94"/>
    </row>
    <row r="1543" spans="24:28" hidden="1">
      <c r="X1543" s="96"/>
      <c r="Y1543" s="96"/>
      <c r="Z1543" s="95"/>
      <c r="AB1543" s="94"/>
    </row>
    <row r="1544" spans="24:28" hidden="1">
      <c r="X1544" s="96"/>
      <c r="Y1544" s="96"/>
      <c r="Z1544" s="95"/>
      <c r="AB1544" s="94"/>
    </row>
    <row r="1545" spans="24:28" hidden="1">
      <c r="X1545" s="96"/>
      <c r="Y1545" s="96"/>
      <c r="Z1545" s="95"/>
      <c r="AB1545" s="94"/>
    </row>
    <row r="1546" spans="24:28" hidden="1">
      <c r="X1546" s="96"/>
      <c r="Y1546" s="96"/>
      <c r="Z1546" s="95"/>
      <c r="AB1546" s="94"/>
    </row>
    <row r="1547" spans="24:28" hidden="1">
      <c r="X1547" s="96"/>
      <c r="Y1547" s="96"/>
      <c r="Z1547" s="95"/>
      <c r="AB1547" s="94"/>
    </row>
    <row r="1548" spans="24:28" hidden="1">
      <c r="X1548" s="96"/>
      <c r="Y1548" s="96"/>
      <c r="Z1548" s="95"/>
      <c r="AB1548" s="94"/>
    </row>
    <row r="1549" spans="24:28" hidden="1">
      <c r="X1549" s="96"/>
      <c r="Y1549" s="96"/>
      <c r="Z1549" s="95"/>
      <c r="AB1549" s="94"/>
    </row>
    <row r="1550" spans="24:28" hidden="1">
      <c r="X1550" s="96"/>
      <c r="Y1550" s="96"/>
      <c r="Z1550" s="95"/>
      <c r="AB1550" s="94"/>
    </row>
    <row r="1551" spans="24:28" hidden="1">
      <c r="X1551" s="96"/>
      <c r="Y1551" s="96"/>
      <c r="Z1551" s="95"/>
      <c r="AB1551" s="94"/>
    </row>
    <row r="1552" spans="24:28" hidden="1">
      <c r="X1552" s="96"/>
      <c r="Y1552" s="96"/>
      <c r="Z1552" s="95"/>
      <c r="AB1552" s="94"/>
    </row>
    <row r="1553" spans="24:28" hidden="1">
      <c r="X1553" s="96"/>
      <c r="Y1553" s="96"/>
      <c r="Z1553" s="95"/>
      <c r="AB1553" s="94"/>
    </row>
    <row r="1554" spans="24:28" hidden="1">
      <c r="X1554" s="96"/>
      <c r="Y1554" s="96"/>
      <c r="Z1554" s="95"/>
      <c r="AB1554" s="94"/>
    </row>
    <row r="1555" spans="24:28" hidden="1">
      <c r="X1555" s="96"/>
      <c r="Y1555" s="96"/>
      <c r="Z1555" s="95"/>
      <c r="AB1555" s="94"/>
    </row>
    <row r="1556" spans="24:28" hidden="1">
      <c r="X1556" s="96"/>
      <c r="Y1556" s="96"/>
      <c r="Z1556" s="95"/>
      <c r="AB1556" s="94"/>
    </row>
    <row r="1557" spans="24:28" hidden="1">
      <c r="X1557" s="96"/>
      <c r="Y1557" s="96"/>
      <c r="Z1557" s="95"/>
      <c r="AB1557" s="94"/>
    </row>
    <row r="1558" spans="24:28" hidden="1">
      <c r="X1558" s="96"/>
      <c r="Y1558" s="96"/>
      <c r="Z1558" s="95"/>
      <c r="AB1558" s="94"/>
    </row>
    <row r="1559" spans="24:28" hidden="1">
      <c r="X1559" s="96"/>
      <c r="Y1559" s="96"/>
      <c r="Z1559" s="95"/>
      <c r="AB1559" s="94"/>
    </row>
    <row r="1560" spans="24:28" hidden="1">
      <c r="X1560" s="96"/>
      <c r="Y1560" s="96"/>
      <c r="Z1560" s="95"/>
      <c r="AB1560" s="94"/>
    </row>
    <row r="1561" spans="24:28" hidden="1">
      <c r="X1561" s="96"/>
      <c r="Y1561" s="96"/>
      <c r="Z1561" s="95"/>
      <c r="AB1561" s="94"/>
    </row>
    <row r="1562" spans="24:28" hidden="1">
      <c r="X1562" s="96"/>
      <c r="Y1562" s="96"/>
      <c r="Z1562" s="95"/>
      <c r="AB1562" s="94"/>
    </row>
    <row r="1563" spans="24:28" hidden="1">
      <c r="X1563" s="96"/>
      <c r="Y1563" s="96"/>
      <c r="Z1563" s="95"/>
      <c r="AB1563" s="94"/>
    </row>
    <row r="1564" spans="24:28" hidden="1">
      <c r="X1564" s="96"/>
      <c r="Y1564" s="96"/>
      <c r="Z1564" s="95"/>
      <c r="AB1564" s="94"/>
    </row>
    <row r="1565" spans="24:28" hidden="1">
      <c r="X1565" s="96"/>
      <c r="Y1565" s="96"/>
      <c r="Z1565" s="95"/>
      <c r="AB1565" s="94"/>
    </row>
    <row r="1566" spans="24:28" hidden="1">
      <c r="X1566" s="96"/>
      <c r="Y1566" s="96"/>
      <c r="Z1566" s="95"/>
      <c r="AB1566" s="94"/>
    </row>
    <row r="1567" spans="24:28" hidden="1">
      <c r="X1567" s="96"/>
      <c r="Y1567" s="96"/>
      <c r="Z1567" s="95"/>
      <c r="AB1567" s="94"/>
    </row>
    <row r="1568" spans="24:28" hidden="1">
      <c r="X1568" s="96"/>
      <c r="Y1568" s="96"/>
      <c r="Z1568" s="95"/>
      <c r="AB1568" s="94"/>
    </row>
    <row r="1569" spans="24:28" hidden="1">
      <c r="X1569" s="96"/>
      <c r="Y1569" s="96"/>
      <c r="Z1569" s="95"/>
      <c r="AB1569" s="94"/>
    </row>
    <row r="1570" spans="24:28" hidden="1">
      <c r="X1570" s="96"/>
      <c r="Y1570" s="96"/>
      <c r="Z1570" s="95"/>
      <c r="AB1570" s="94"/>
    </row>
    <row r="1571" spans="24:28" hidden="1">
      <c r="X1571" s="96"/>
      <c r="Y1571" s="96"/>
      <c r="Z1571" s="95"/>
      <c r="AB1571" s="94"/>
    </row>
    <row r="1572" spans="24:28" hidden="1">
      <c r="X1572" s="96"/>
      <c r="Y1572" s="96"/>
      <c r="Z1572" s="95"/>
      <c r="AB1572" s="94"/>
    </row>
    <row r="1573" spans="24:28" hidden="1">
      <c r="X1573" s="96"/>
      <c r="Y1573" s="96"/>
      <c r="Z1573" s="95"/>
      <c r="AB1573" s="94"/>
    </row>
    <row r="1574" spans="24:28" hidden="1">
      <c r="X1574" s="96"/>
      <c r="Y1574" s="96"/>
      <c r="Z1574" s="95"/>
      <c r="AB1574" s="94"/>
    </row>
    <row r="1575" spans="24:28" hidden="1">
      <c r="X1575" s="96"/>
      <c r="Y1575" s="96"/>
      <c r="Z1575" s="95"/>
      <c r="AB1575" s="94"/>
    </row>
    <row r="1576" spans="24:28" hidden="1">
      <c r="X1576" s="96"/>
      <c r="Y1576" s="96"/>
      <c r="Z1576" s="95"/>
      <c r="AB1576" s="94"/>
    </row>
    <row r="1577" spans="24:28" hidden="1">
      <c r="X1577" s="96"/>
      <c r="Y1577" s="96"/>
      <c r="Z1577" s="95"/>
      <c r="AB1577" s="94"/>
    </row>
    <row r="1578" spans="24:28" hidden="1">
      <c r="X1578" s="96"/>
      <c r="Y1578" s="96"/>
      <c r="Z1578" s="95"/>
      <c r="AB1578" s="94"/>
    </row>
    <row r="1579" spans="24:28" hidden="1">
      <c r="X1579" s="96"/>
      <c r="Y1579" s="96"/>
      <c r="Z1579" s="95"/>
      <c r="AB1579" s="94"/>
    </row>
    <row r="1580" spans="24:28" hidden="1">
      <c r="X1580" s="96"/>
      <c r="Y1580" s="96"/>
      <c r="Z1580" s="95"/>
      <c r="AB1580" s="94"/>
    </row>
    <row r="1581" spans="24:28" hidden="1">
      <c r="X1581" s="96"/>
      <c r="Y1581" s="96"/>
      <c r="Z1581" s="95"/>
      <c r="AB1581" s="94"/>
    </row>
    <row r="1582" spans="24:28" hidden="1">
      <c r="X1582" s="96"/>
      <c r="Y1582" s="96"/>
      <c r="Z1582" s="95"/>
      <c r="AB1582" s="94"/>
    </row>
    <row r="1583" spans="24:28" hidden="1">
      <c r="X1583" s="96"/>
      <c r="Y1583" s="96"/>
      <c r="Z1583" s="95"/>
      <c r="AB1583" s="94"/>
    </row>
    <row r="1584" spans="24:28" hidden="1">
      <c r="X1584" s="96"/>
      <c r="Y1584" s="96"/>
      <c r="Z1584" s="95"/>
      <c r="AB1584" s="94"/>
    </row>
    <row r="1585" spans="24:28" hidden="1">
      <c r="X1585" s="96"/>
      <c r="Y1585" s="96"/>
      <c r="Z1585" s="95"/>
      <c r="AB1585" s="94"/>
    </row>
    <row r="1586" spans="24:28" hidden="1">
      <c r="X1586" s="96"/>
      <c r="Y1586" s="96"/>
      <c r="Z1586" s="95"/>
      <c r="AB1586" s="94"/>
    </row>
    <row r="1587" spans="24:28" hidden="1">
      <c r="X1587" s="96"/>
      <c r="Y1587" s="96"/>
      <c r="Z1587" s="95"/>
      <c r="AB1587" s="94"/>
    </row>
    <row r="1588" spans="24:28" hidden="1">
      <c r="X1588" s="96"/>
      <c r="Y1588" s="96"/>
      <c r="Z1588" s="95"/>
      <c r="AB1588" s="94"/>
    </row>
    <row r="1589" spans="24:28" hidden="1">
      <c r="X1589" s="96"/>
      <c r="Y1589" s="96"/>
      <c r="Z1589" s="95"/>
      <c r="AB1589" s="94"/>
    </row>
    <row r="1590" spans="24:28" hidden="1">
      <c r="X1590" s="96"/>
      <c r="Y1590" s="96"/>
      <c r="Z1590" s="95"/>
      <c r="AB1590" s="94"/>
    </row>
    <row r="1591" spans="24:28" hidden="1">
      <c r="X1591" s="96"/>
      <c r="Y1591" s="96"/>
      <c r="Z1591" s="95"/>
      <c r="AB1591" s="94"/>
    </row>
    <row r="1592" spans="24:28" hidden="1">
      <c r="X1592" s="96"/>
      <c r="Y1592" s="96"/>
      <c r="Z1592" s="95"/>
      <c r="AB1592" s="94"/>
    </row>
    <row r="1593" spans="24:28" hidden="1">
      <c r="X1593" s="96"/>
      <c r="Y1593" s="96"/>
      <c r="Z1593" s="95"/>
      <c r="AB1593" s="94"/>
    </row>
    <row r="1594" spans="24:28" hidden="1">
      <c r="X1594" s="96"/>
      <c r="Y1594" s="96"/>
      <c r="Z1594" s="95"/>
      <c r="AB1594" s="94"/>
    </row>
    <row r="1595" spans="24:28" hidden="1">
      <c r="X1595" s="96"/>
      <c r="Y1595" s="96"/>
      <c r="Z1595" s="95"/>
      <c r="AB1595" s="94"/>
    </row>
    <row r="1596" spans="24:28" hidden="1">
      <c r="X1596" s="96"/>
      <c r="Y1596" s="96"/>
      <c r="Z1596" s="95"/>
      <c r="AB1596" s="94"/>
    </row>
    <row r="1597" spans="24:28" hidden="1">
      <c r="X1597" s="96"/>
      <c r="Y1597" s="96"/>
      <c r="Z1597" s="95"/>
      <c r="AB1597" s="94"/>
    </row>
    <row r="1598" spans="24:28" hidden="1">
      <c r="X1598" s="96"/>
      <c r="Y1598" s="96"/>
      <c r="Z1598" s="95"/>
      <c r="AB1598" s="94"/>
    </row>
    <row r="1599" spans="24:28" hidden="1">
      <c r="X1599" s="96"/>
      <c r="Y1599" s="96"/>
      <c r="Z1599" s="95"/>
      <c r="AB1599" s="94"/>
    </row>
    <row r="1600" spans="24:28" hidden="1">
      <c r="X1600" s="96"/>
      <c r="Y1600" s="96"/>
      <c r="Z1600" s="95"/>
      <c r="AB1600" s="94"/>
    </row>
    <row r="1601" spans="23:41" hidden="1">
      <c r="X1601" s="96"/>
      <c r="Y1601" s="96"/>
      <c r="Z1601" s="95"/>
      <c r="AB1601" s="94"/>
    </row>
    <row r="1602" spans="23:41" hidden="1">
      <c r="X1602" s="96"/>
      <c r="Y1602" s="96"/>
      <c r="Z1602" s="95"/>
      <c r="AB1602" s="94"/>
    </row>
    <row r="1603" spans="23:41" hidden="1">
      <c r="X1603" s="96"/>
      <c r="Y1603" s="96"/>
      <c r="Z1603" s="95"/>
      <c r="AB1603" s="94"/>
    </row>
    <row r="1604" spans="23:41" hidden="1">
      <c r="X1604" s="96"/>
      <c r="Y1604" s="96"/>
      <c r="Z1604" s="95"/>
      <c r="AB1604" s="94"/>
    </row>
    <row r="1605" spans="23:41" hidden="1">
      <c r="X1605" s="96"/>
      <c r="Y1605" s="96"/>
      <c r="Z1605" s="95"/>
      <c r="AB1605" s="94"/>
    </row>
    <row r="1606" spans="23:41" hidden="1"/>
    <row r="1607" spans="23:41" hidden="1"/>
    <row r="1608" spans="23:41" hidden="1">
      <c r="X1608" s="35"/>
    </row>
    <row r="1609" spans="23:41" hidden="1">
      <c r="X1609" s="35"/>
    </row>
    <row r="1610" spans="23:41" hidden="1">
      <c r="X1610" s="92"/>
    </row>
    <row r="1611" spans="23:41" hidden="1">
      <c r="X1611" s="92"/>
    </row>
    <row r="1612" spans="23:41" hidden="1"/>
    <row r="1613" spans="23:41" hidden="1">
      <c r="AF1613" s="36"/>
      <c r="AG1613" s="36"/>
      <c r="AH1613" s="36"/>
      <c r="AI1613" s="36"/>
      <c r="AJ1613" s="36"/>
      <c r="AK1613" s="36"/>
      <c r="AL1613" s="36"/>
      <c r="AM1613" s="36"/>
      <c r="AN1613" s="36"/>
      <c r="AO1613" s="36"/>
    </row>
    <row r="1614" spans="23:41" hidden="1">
      <c r="W1614" s="36"/>
      <c r="X1614" s="36"/>
      <c r="Y1614" s="36"/>
      <c r="Z1614" s="36"/>
      <c r="AA1614" s="36"/>
      <c r="AB1614" s="36"/>
      <c r="AE1614" s="89"/>
      <c r="AF1614" s="93"/>
      <c r="AG1614" s="93"/>
      <c r="AH1614" s="93"/>
      <c r="AI1614" s="93"/>
      <c r="AJ1614" s="93"/>
      <c r="AK1614" s="93"/>
      <c r="AL1614" s="93"/>
      <c r="AM1614" s="93"/>
      <c r="AN1614" s="93"/>
      <c r="AO1614" s="93"/>
    </row>
    <row r="1615" spans="23:41" hidden="1"/>
    <row r="1616" spans="23:41" hidden="1">
      <c r="X1616" s="94"/>
      <c r="Y1616" s="94"/>
      <c r="Z1616" s="95"/>
      <c r="AB1616" s="94"/>
      <c r="AE1616" s="94"/>
    </row>
    <row r="1617" spans="23:41" hidden="1">
      <c r="X1617" s="94"/>
      <c r="Y1617" s="94"/>
      <c r="Z1617" s="95"/>
      <c r="AB1617" s="94"/>
      <c r="AE1617" s="94"/>
    </row>
    <row r="1618" spans="23:41" hidden="1">
      <c r="X1618" s="94"/>
      <c r="Y1618" s="94"/>
      <c r="Z1618" s="95"/>
      <c r="AB1618" s="94"/>
      <c r="AF1618" s="94"/>
      <c r="AG1618" s="94"/>
      <c r="AH1618" s="94"/>
      <c r="AI1618" s="94"/>
      <c r="AJ1618" s="94"/>
      <c r="AK1618" s="94"/>
      <c r="AL1618" s="94"/>
      <c r="AM1618" s="94"/>
      <c r="AN1618" s="94"/>
      <c r="AO1618" s="94"/>
    </row>
    <row r="1619" spans="23:41" hidden="1">
      <c r="X1619" s="94"/>
      <c r="Y1619" s="94"/>
      <c r="Z1619" s="95"/>
      <c r="AB1619" s="94"/>
      <c r="AF1619" s="94"/>
      <c r="AG1619" s="94"/>
      <c r="AH1619" s="94"/>
      <c r="AI1619" s="94"/>
      <c r="AJ1619" s="94"/>
      <c r="AK1619" s="94"/>
      <c r="AL1619" s="94"/>
      <c r="AM1619" s="94"/>
      <c r="AN1619" s="94"/>
      <c r="AO1619" s="94"/>
    </row>
    <row r="1620" spans="23:41" hidden="1">
      <c r="X1620" s="94"/>
      <c r="Y1620" s="94"/>
      <c r="Z1620" s="95"/>
      <c r="AB1620" s="94"/>
      <c r="AF1620" s="94"/>
      <c r="AG1620" s="94"/>
      <c r="AH1620" s="94"/>
      <c r="AI1620" s="94"/>
      <c r="AJ1620" s="94"/>
      <c r="AK1620" s="94"/>
      <c r="AL1620" s="94"/>
      <c r="AM1620" s="94"/>
      <c r="AN1620" s="94"/>
      <c r="AO1620" s="94"/>
    </row>
    <row r="1621" spans="23:41">
      <c r="X1621" s="94"/>
      <c r="Y1621" s="94"/>
      <c r="Z1621" s="95"/>
      <c r="AB1621" s="94"/>
    </row>
    <row r="1622" spans="23:41">
      <c r="X1622" s="94"/>
      <c r="Y1622" s="94"/>
      <c r="Z1622" s="95"/>
      <c r="AB1622" s="94"/>
      <c r="AE1622" s="94"/>
      <c r="AF1622" s="94"/>
      <c r="AG1622" s="94"/>
      <c r="AH1622" s="94"/>
      <c r="AI1622" s="94"/>
      <c r="AJ1622" s="94"/>
      <c r="AK1622" s="94"/>
      <c r="AL1622" s="94"/>
      <c r="AM1622" s="94"/>
      <c r="AN1622" s="94"/>
      <c r="AO1622" s="94"/>
    </row>
    <row r="1623" spans="23:41">
      <c r="X1623" s="94"/>
      <c r="Y1623" s="94"/>
      <c r="Z1623" s="95"/>
      <c r="AB1623" s="94"/>
    </row>
    <row r="1624" spans="23:41">
      <c r="X1624" s="94"/>
      <c r="Y1624" s="94"/>
      <c r="Z1624" s="95"/>
      <c r="AB1624" s="94"/>
    </row>
    <row r="1625" spans="23:41">
      <c r="X1625" s="94"/>
      <c r="Y1625" s="94"/>
      <c r="Z1625" s="95"/>
      <c r="AB1625" s="94"/>
    </row>
    <row r="1626" spans="23:41">
      <c r="W1626" s="91"/>
    </row>
    <row r="1628" spans="23:41">
      <c r="W1628" s="36"/>
      <c r="X1628" s="36"/>
      <c r="Y1628" s="36"/>
      <c r="Z1628" s="36"/>
      <c r="AA1628" s="36"/>
      <c r="AB1628" s="36"/>
    </row>
    <row r="1630" spans="23:41">
      <c r="X1630" s="96"/>
      <c r="Y1630" s="96"/>
      <c r="Z1630" s="95"/>
      <c r="AB1630" s="94"/>
    </row>
    <row r="1631" spans="23:41">
      <c r="X1631" s="96"/>
      <c r="Y1631" s="96"/>
      <c r="Z1631" s="95"/>
      <c r="AB1631" s="94"/>
    </row>
    <row r="1632" spans="23:41">
      <c r="X1632" s="96"/>
      <c r="Y1632" s="96"/>
      <c r="Z1632" s="95"/>
      <c r="AB1632" s="94"/>
    </row>
    <row r="1633" spans="24:28">
      <c r="X1633" s="96"/>
      <c r="Y1633" s="96"/>
      <c r="Z1633" s="95"/>
      <c r="AB1633" s="94"/>
    </row>
    <row r="1634" spans="24:28">
      <c r="X1634" s="96"/>
      <c r="Y1634" s="96"/>
      <c r="Z1634" s="95"/>
      <c r="AB1634" s="94"/>
    </row>
    <row r="1635" spans="24:28">
      <c r="X1635" s="96"/>
      <c r="Y1635" s="96"/>
      <c r="Z1635" s="95"/>
      <c r="AB1635" s="94"/>
    </row>
    <row r="1636" spans="24:28">
      <c r="X1636" s="96"/>
      <c r="Y1636" s="96"/>
      <c r="Z1636" s="95"/>
      <c r="AB1636" s="94"/>
    </row>
    <row r="1637" spans="24:28">
      <c r="X1637" s="96"/>
      <c r="Y1637" s="96"/>
      <c r="Z1637" s="95"/>
      <c r="AB1637" s="94"/>
    </row>
    <row r="1638" spans="24:28">
      <c r="X1638" s="96"/>
      <c r="Y1638" s="96"/>
      <c r="Z1638" s="95"/>
      <c r="AB1638" s="94"/>
    </row>
    <row r="1639" spans="24:28">
      <c r="X1639" s="96"/>
      <c r="Y1639" s="96"/>
      <c r="Z1639" s="95"/>
      <c r="AB1639" s="94"/>
    </row>
    <row r="1640" spans="24:28">
      <c r="X1640" s="96"/>
      <c r="Y1640" s="96"/>
      <c r="Z1640" s="95"/>
      <c r="AB1640" s="94"/>
    </row>
    <row r="1641" spans="24:28">
      <c r="X1641" s="96"/>
      <c r="Y1641" s="96"/>
      <c r="Z1641" s="95"/>
      <c r="AB1641" s="94"/>
    </row>
    <row r="1642" spans="24:28">
      <c r="X1642" s="96"/>
      <c r="Y1642" s="96"/>
      <c r="Z1642" s="95"/>
      <c r="AB1642" s="94"/>
    </row>
    <row r="1643" spans="24:28">
      <c r="X1643" s="96"/>
      <c r="Y1643" s="96"/>
      <c r="Z1643" s="95"/>
      <c r="AB1643" s="94"/>
    </row>
    <row r="1644" spans="24:28">
      <c r="X1644" s="96"/>
      <c r="Y1644" s="96"/>
      <c r="Z1644" s="95"/>
      <c r="AB1644" s="94"/>
    </row>
    <row r="1645" spans="24:28">
      <c r="X1645" s="96"/>
      <c r="Y1645" s="96"/>
      <c r="Z1645" s="95"/>
      <c r="AB1645" s="94"/>
    </row>
    <row r="1646" spans="24:28">
      <c r="X1646" s="96"/>
      <c r="Y1646" s="96"/>
      <c r="Z1646" s="95"/>
      <c r="AB1646" s="94"/>
    </row>
    <row r="1647" spans="24:28">
      <c r="X1647" s="96"/>
      <c r="Y1647" s="96"/>
      <c r="Z1647" s="95"/>
      <c r="AB1647" s="94"/>
    </row>
    <row r="1648" spans="24:28">
      <c r="X1648" s="96"/>
      <c r="Y1648" s="96"/>
      <c r="Z1648" s="95"/>
      <c r="AB1648" s="94"/>
    </row>
    <row r="1649" spans="24:28">
      <c r="X1649" s="96"/>
      <c r="Y1649" s="96"/>
      <c r="Z1649" s="95"/>
      <c r="AB1649" s="94"/>
    </row>
    <row r="1650" spans="24:28">
      <c r="X1650" s="96"/>
      <c r="Y1650" s="96"/>
      <c r="Z1650" s="95"/>
      <c r="AB1650" s="94"/>
    </row>
    <row r="1651" spans="24:28">
      <c r="X1651" s="96"/>
      <c r="Y1651" s="96"/>
      <c r="Z1651" s="95"/>
      <c r="AB1651" s="94"/>
    </row>
    <row r="1652" spans="24:28">
      <c r="X1652" s="96"/>
      <c r="Y1652" s="96"/>
      <c r="Z1652" s="95"/>
      <c r="AB1652" s="94"/>
    </row>
    <row r="1653" spans="24:28">
      <c r="X1653" s="96"/>
      <c r="Y1653" s="96"/>
      <c r="Z1653" s="95"/>
      <c r="AB1653" s="94"/>
    </row>
    <row r="1654" spans="24:28">
      <c r="X1654" s="96"/>
      <c r="Y1654" s="96"/>
      <c r="Z1654" s="95"/>
      <c r="AB1654" s="94"/>
    </row>
    <row r="1655" spans="24:28">
      <c r="X1655" s="96"/>
      <c r="Y1655" s="96"/>
      <c r="Z1655" s="95"/>
      <c r="AB1655" s="94"/>
    </row>
    <row r="1656" spans="24:28">
      <c r="X1656" s="96"/>
      <c r="Y1656" s="96"/>
      <c r="Z1656" s="95"/>
      <c r="AB1656" s="94"/>
    </row>
    <row r="1657" spans="24:28">
      <c r="X1657" s="96"/>
      <c r="Y1657" s="96"/>
      <c r="Z1657" s="95"/>
      <c r="AB1657" s="94"/>
    </row>
    <row r="1658" spans="24:28">
      <c r="X1658" s="96"/>
      <c r="Y1658" s="96"/>
      <c r="Z1658" s="95"/>
      <c r="AB1658" s="94"/>
    </row>
    <row r="1659" spans="24:28">
      <c r="X1659" s="96"/>
      <c r="Y1659" s="96"/>
      <c r="Z1659" s="95"/>
      <c r="AB1659" s="94"/>
    </row>
    <row r="1660" spans="24:28">
      <c r="X1660" s="96"/>
      <c r="Y1660" s="96"/>
      <c r="Z1660" s="95"/>
      <c r="AB1660" s="94"/>
    </row>
    <row r="1661" spans="24:28">
      <c r="X1661" s="96"/>
      <c r="Y1661" s="96"/>
      <c r="Z1661" s="95"/>
      <c r="AB1661" s="94"/>
    </row>
    <row r="1662" spans="24:28">
      <c r="X1662" s="96"/>
      <c r="Y1662" s="96"/>
      <c r="Z1662" s="95"/>
      <c r="AB1662" s="94"/>
    </row>
    <row r="1663" spans="24:28">
      <c r="X1663" s="96"/>
      <c r="Y1663" s="96"/>
      <c r="Z1663" s="95"/>
      <c r="AB1663" s="94"/>
    </row>
    <row r="1664" spans="24:28">
      <c r="X1664" s="96"/>
      <c r="Y1664" s="96"/>
      <c r="Z1664" s="95"/>
      <c r="AB1664" s="94"/>
    </row>
    <row r="1665" spans="24:28">
      <c r="X1665" s="96"/>
      <c r="Y1665" s="96"/>
      <c r="Z1665" s="95"/>
      <c r="AB1665" s="94"/>
    </row>
    <row r="1666" spans="24:28">
      <c r="X1666" s="96"/>
      <c r="Y1666" s="96"/>
      <c r="Z1666" s="95"/>
      <c r="AB1666" s="94"/>
    </row>
    <row r="1667" spans="24:28">
      <c r="X1667" s="96"/>
      <c r="Y1667" s="96"/>
      <c r="Z1667" s="95"/>
      <c r="AB1667" s="94"/>
    </row>
    <row r="1668" spans="24:28">
      <c r="X1668" s="96"/>
      <c r="Y1668" s="96"/>
      <c r="Z1668" s="95"/>
      <c r="AB1668" s="94"/>
    </row>
    <row r="1669" spans="24:28">
      <c r="X1669" s="96"/>
      <c r="Y1669" s="96"/>
      <c r="Z1669" s="95"/>
      <c r="AB1669" s="94"/>
    </row>
    <row r="1670" spans="24:28">
      <c r="X1670" s="96"/>
      <c r="Y1670" s="96"/>
      <c r="Z1670" s="95"/>
      <c r="AB1670" s="94"/>
    </row>
    <row r="1671" spans="24:28">
      <c r="X1671" s="96"/>
      <c r="Y1671" s="96"/>
      <c r="Z1671" s="95"/>
      <c r="AB1671" s="94"/>
    </row>
    <row r="1672" spans="24:28">
      <c r="X1672" s="96"/>
      <c r="Y1672" s="96"/>
      <c r="Z1672" s="95"/>
      <c r="AB1672" s="94"/>
    </row>
    <row r="1673" spans="24:28">
      <c r="X1673" s="96"/>
      <c r="Y1673" s="96"/>
      <c r="Z1673" s="95"/>
      <c r="AB1673" s="94"/>
    </row>
    <row r="1674" spans="24:28">
      <c r="X1674" s="96"/>
      <c r="Y1674" s="96"/>
      <c r="Z1674" s="95"/>
      <c r="AB1674" s="94"/>
    </row>
    <row r="1675" spans="24:28">
      <c r="X1675" s="96"/>
      <c r="Y1675" s="96"/>
      <c r="Z1675" s="95"/>
      <c r="AB1675" s="94"/>
    </row>
    <row r="1676" spans="24:28">
      <c r="X1676" s="96"/>
      <c r="Y1676" s="96"/>
      <c r="Z1676" s="95"/>
      <c r="AB1676" s="94"/>
    </row>
    <row r="1677" spans="24:28">
      <c r="X1677" s="96"/>
      <c r="Y1677" s="96"/>
      <c r="Z1677" s="95"/>
      <c r="AB1677" s="94"/>
    </row>
    <row r="1678" spans="24:28">
      <c r="X1678" s="96"/>
      <c r="Y1678" s="96"/>
      <c r="Z1678" s="95"/>
      <c r="AB1678" s="94"/>
    </row>
    <row r="1679" spans="24:28">
      <c r="X1679" s="96"/>
      <c r="Y1679" s="96"/>
      <c r="Z1679" s="95"/>
      <c r="AB1679" s="94"/>
    </row>
    <row r="1680" spans="24:28">
      <c r="X1680" s="96"/>
      <c r="Y1680" s="96"/>
      <c r="Z1680" s="95"/>
      <c r="AB1680" s="94"/>
    </row>
    <row r="1681" spans="24:28">
      <c r="X1681" s="96"/>
      <c r="Y1681" s="96"/>
      <c r="Z1681" s="95"/>
      <c r="AB1681" s="94"/>
    </row>
    <row r="1682" spans="24:28">
      <c r="X1682" s="96"/>
      <c r="Y1682" s="96"/>
      <c r="Z1682" s="95"/>
      <c r="AB1682" s="94"/>
    </row>
    <row r="1683" spans="24:28">
      <c r="X1683" s="96"/>
      <c r="Y1683" s="96"/>
      <c r="Z1683" s="95"/>
      <c r="AB1683" s="94"/>
    </row>
    <row r="1684" spans="24:28">
      <c r="X1684" s="96"/>
      <c r="Y1684" s="96"/>
      <c r="Z1684" s="95"/>
      <c r="AB1684" s="94"/>
    </row>
    <row r="1685" spans="24:28">
      <c r="X1685" s="96"/>
      <c r="Y1685" s="96"/>
      <c r="Z1685" s="95"/>
      <c r="AB1685" s="94"/>
    </row>
    <row r="1686" spans="24:28">
      <c r="X1686" s="96"/>
      <c r="Y1686" s="96"/>
      <c r="Z1686" s="95"/>
      <c r="AB1686" s="94"/>
    </row>
    <row r="1687" spans="24:28">
      <c r="X1687" s="96"/>
      <c r="Y1687" s="96"/>
      <c r="Z1687" s="95"/>
      <c r="AB1687" s="94"/>
    </row>
    <row r="1688" spans="24:28">
      <c r="X1688" s="96"/>
      <c r="Y1688" s="96"/>
      <c r="Z1688" s="95"/>
      <c r="AB1688" s="94"/>
    </row>
    <row r="1689" spans="24:28">
      <c r="X1689" s="96"/>
      <c r="Y1689" s="96"/>
      <c r="Z1689" s="95"/>
      <c r="AB1689" s="94"/>
    </row>
    <row r="1690" spans="24:28">
      <c r="X1690" s="96"/>
      <c r="Y1690" s="96"/>
      <c r="Z1690" s="95"/>
      <c r="AB1690" s="94"/>
    </row>
    <row r="1691" spans="24:28">
      <c r="X1691" s="96"/>
      <c r="Y1691" s="96"/>
      <c r="Z1691" s="95"/>
      <c r="AB1691" s="94"/>
    </row>
    <row r="1692" spans="24:28">
      <c r="X1692" s="96"/>
      <c r="Y1692" s="96"/>
      <c r="Z1692" s="95"/>
      <c r="AB1692" s="94"/>
    </row>
    <row r="1693" spans="24:28">
      <c r="X1693" s="96"/>
      <c r="Y1693" s="96"/>
      <c r="Z1693" s="95"/>
      <c r="AB1693" s="94"/>
    </row>
    <row r="1694" spans="24:28">
      <c r="X1694" s="96"/>
      <c r="Y1694" s="96"/>
      <c r="Z1694" s="95"/>
      <c r="AB1694" s="94"/>
    </row>
    <row r="1695" spans="24:28">
      <c r="X1695" s="96"/>
      <c r="Y1695" s="96"/>
      <c r="Z1695" s="95"/>
      <c r="AB1695" s="94"/>
    </row>
    <row r="1696" spans="24:28">
      <c r="X1696" s="96"/>
      <c r="Y1696" s="96"/>
      <c r="Z1696" s="95"/>
      <c r="AB1696" s="94"/>
    </row>
    <row r="1697" spans="24:28">
      <c r="X1697" s="96"/>
      <c r="Y1697" s="96"/>
      <c r="Z1697" s="95"/>
      <c r="AB1697" s="94"/>
    </row>
    <row r="1698" spans="24:28">
      <c r="X1698" s="96"/>
      <c r="Y1698" s="96"/>
      <c r="Z1698" s="95"/>
      <c r="AB1698" s="94"/>
    </row>
    <row r="1699" spans="24:28">
      <c r="X1699" s="96"/>
      <c r="Y1699" s="96"/>
      <c r="Z1699" s="95"/>
      <c r="AB1699" s="94"/>
    </row>
    <row r="1700" spans="24:28">
      <c r="X1700" s="96"/>
      <c r="Y1700" s="96"/>
      <c r="Z1700" s="95"/>
      <c r="AB1700" s="94"/>
    </row>
    <row r="1701" spans="24:28">
      <c r="X1701" s="96"/>
      <c r="Y1701" s="96"/>
      <c r="Z1701" s="95"/>
      <c r="AB1701" s="94"/>
    </row>
    <row r="1702" spans="24:28">
      <c r="X1702" s="96"/>
      <c r="Y1702" s="96"/>
      <c r="Z1702" s="95"/>
      <c r="AB1702" s="94"/>
    </row>
    <row r="1703" spans="24:28">
      <c r="X1703" s="96"/>
      <c r="Y1703" s="96"/>
      <c r="Z1703" s="95"/>
      <c r="AB1703" s="94"/>
    </row>
    <row r="1704" spans="24:28">
      <c r="X1704" s="96"/>
      <c r="Y1704" s="96"/>
      <c r="Z1704" s="95"/>
      <c r="AB1704" s="94"/>
    </row>
    <row r="1705" spans="24:28">
      <c r="X1705" s="96"/>
      <c r="Y1705" s="96"/>
      <c r="Z1705" s="95"/>
      <c r="AB1705" s="94"/>
    </row>
    <row r="1706" spans="24:28">
      <c r="X1706" s="96"/>
      <c r="Y1706" s="96"/>
      <c r="Z1706" s="95"/>
      <c r="AB1706" s="94"/>
    </row>
    <row r="1707" spans="24:28">
      <c r="X1707" s="96"/>
      <c r="Y1707" s="96"/>
      <c r="Z1707" s="95"/>
      <c r="AB1707" s="94"/>
    </row>
    <row r="1708" spans="24:28">
      <c r="X1708" s="96"/>
      <c r="Y1708" s="96"/>
      <c r="Z1708" s="95"/>
      <c r="AB1708" s="94"/>
    </row>
    <row r="1709" spans="24:28">
      <c r="X1709" s="96"/>
      <c r="Y1709" s="96"/>
      <c r="Z1709" s="95"/>
      <c r="AB1709" s="94"/>
    </row>
    <row r="1710" spans="24:28">
      <c r="X1710" s="96"/>
      <c r="Y1710" s="96"/>
      <c r="Z1710" s="95"/>
      <c r="AB1710" s="94"/>
    </row>
    <row r="1711" spans="24:28">
      <c r="X1711" s="96"/>
      <c r="Y1711" s="96"/>
      <c r="Z1711" s="95"/>
      <c r="AB1711" s="94"/>
    </row>
    <row r="1712" spans="24:28">
      <c r="X1712" s="96"/>
      <c r="Y1712" s="96"/>
      <c r="Z1712" s="95"/>
      <c r="AB1712" s="94"/>
    </row>
    <row r="1713" spans="24:28">
      <c r="X1713" s="96"/>
      <c r="Y1713" s="96"/>
      <c r="Z1713" s="95"/>
      <c r="AB1713" s="94"/>
    </row>
    <row r="1714" spans="24:28">
      <c r="X1714" s="96"/>
      <c r="Y1714" s="96"/>
      <c r="Z1714" s="95"/>
      <c r="AB1714" s="94"/>
    </row>
    <row r="1715" spans="24:28">
      <c r="X1715" s="96"/>
      <c r="Y1715" s="96"/>
      <c r="Z1715" s="95"/>
      <c r="AB1715" s="94"/>
    </row>
    <row r="1716" spans="24:28">
      <c r="X1716" s="96"/>
      <c r="Y1716" s="96"/>
      <c r="Z1716" s="95"/>
      <c r="AB1716" s="94"/>
    </row>
    <row r="1717" spans="24:28">
      <c r="X1717" s="96"/>
      <c r="Y1717" s="96"/>
      <c r="Z1717" s="95"/>
      <c r="AB1717" s="94"/>
    </row>
    <row r="1718" spans="24:28">
      <c r="X1718" s="96"/>
      <c r="Y1718" s="96"/>
      <c r="Z1718" s="95"/>
      <c r="AB1718" s="94"/>
    </row>
    <row r="1719" spans="24:28">
      <c r="X1719" s="96"/>
      <c r="Y1719" s="96"/>
      <c r="Z1719" s="95"/>
      <c r="AB1719" s="94"/>
    </row>
    <row r="1720" spans="24:28">
      <c r="X1720" s="96"/>
      <c r="Y1720" s="96"/>
      <c r="Z1720" s="95"/>
      <c r="AB1720" s="94"/>
    </row>
    <row r="1721" spans="24:28">
      <c r="X1721" s="96"/>
      <c r="Y1721" s="96"/>
      <c r="Z1721" s="95"/>
      <c r="AB1721" s="94"/>
    </row>
    <row r="1722" spans="24:28">
      <c r="X1722" s="96"/>
      <c r="Y1722" s="96"/>
      <c r="Z1722" s="95"/>
      <c r="AB1722" s="94"/>
    </row>
    <row r="1723" spans="24:28">
      <c r="X1723" s="96"/>
      <c r="Y1723" s="96"/>
      <c r="Z1723" s="95"/>
      <c r="AB1723" s="94"/>
    </row>
    <row r="1724" spans="24:28">
      <c r="X1724" s="96"/>
      <c r="Y1724" s="96"/>
      <c r="Z1724" s="95"/>
      <c r="AB1724" s="94"/>
    </row>
    <row r="1725" spans="24:28">
      <c r="X1725" s="96"/>
      <c r="Y1725" s="96"/>
      <c r="Z1725" s="95"/>
      <c r="AB1725" s="94"/>
    </row>
    <row r="1726" spans="24:28">
      <c r="X1726" s="96"/>
      <c r="Y1726" s="96"/>
      <c r="Z1726" s="95"/>
      <c r="AB1726" s="94"/>
    </row>
    <row r="1727" spans="24:28">
      <c r="X1727" s="96"/>
      <c r="Y1727" s="96"/>
      <c r="Z1727" s="95"/>
      <c r="AB1727" s="94"/>
    </row>
    <row r="1728" spans="24:28">
      <c r="X1728" s="96"/>
      <c r="Y1728" s="96"/>
      <c r="Z1728" s="95"/>
      <c r="AB1728" s="94"/>
    </row>
    <row r="1729" spans="24:28">
      <c r="X1729" s="96"/>
      <c r="Y1729" s="96"/>
      <c r="Z1729" s="95"/>
      <c r="AB1729" s="94"/>
    </row>
    <row r="1730" spans="24:28">
      <c r="X1730" s="96"/>
      <c r="Y1730" s="96"/>
      <c r="Z1730" s="95"/>
      <c r="AB1730" s="94"/>
    </row>
    <row r="1731" spans="24:28">
      <c r="X1731" s="96"/>
      <c r="Y1731" s="96"/>
      <c r="Z1731" s="95"/>
      <c r="AB1731" s="94"/>
    </row>
    <row r="1732" spans="24:28">
      <c r="X1732" s="96"/>
      <c r="Y1732" s="96"/>
      <c r="Z1732" s="95"/>
      <c r="AB1732" s="94"/>
    </row>
    <row r="1733" spans="24:28">
      <c r="X1733" s="96"/>
      <c r="Y1733" s="96"/>
      <c r="Z1733" s="95"/>
      <c r="AB1733" s="94"/>
    </row>
    <row r="1734" spans="24:28">
      <c r="X1734" s="96"/>
      <c r="Y1734" s="96"/>
      <c r="Z1734" s="95"/>
      <c r="AB1734" s="94"/>
    </row>
    <row r="1735" spans="24:28">
      <c r="X1735" s="96"/>
      <c r="Y1735" s="96"/>
      <c r="Z1735" s="95"/>
      <c r="AB1735" s="94"/>
    </row>
    <row r="1736" spans="24:28">
      <c r="X1736" s="96"/>
      <c r="Y1736" s="96"/>
      <c r="Z1736" s="95"/>
      <c r="AB1736" s="94"/>
    </row>
    <row r="1737" spans="24:28">
      <c r="X1737" s="96"/>
      <c r="Y1737" s="96"/>
      <c r="Z1737" s="95"/>
      <c r="AB1737" s="94"/>
    </row>
    <row r="1738" spans="24:28">
      <c r="X1738" s="96"/>
      <c r="Y1738" s="96"/>
      <c r="Z1738" s="95"/>
      <c r="AB1738" s="94"/>
    </row>
    <row r="1739" spans="24:28">
      <c r="X1739" s="96"/>
      <c r="Y1739" s="96"/>
      <c r="Z1739" s="95"/>
      <c r="AB1739" s="94"/>
    </row>
    <row r="1740" spans="24:28">
      <c r="X1740" s="96"/>
      <c r="Y1740" s="96"/>
      <c r="Z1740" s="95"/>
      <c r="AB1740" s="94"/>
    </row>
    <row r="1741" spans="24:28">
      <c r="X1741" s="96"/>
      <c r="Y1741" s="96"/>
      <c r="Z1741" s="95"/>
      <c r="AB1741" s="94"/>
    </row>
    <row r="1742" spans="24:28">
      <c r="X1742" s="96"/>
      <c r="Y1742" s="96"/>
      <c r="Z1742" s="95"/>
      <c r="AB1742" s="94"/>
    </row>
    <row r="1743" spans="24:28">
      <c r="X1743" s="96"/>
      <c r="Y1743" s="96"/>
      <c r="Z1743" s="95"/>
      <c r="AB1743" s="94"/>
    </row>
    <row r="1744" spans="24:28">
      <c r="X1744" s="96"/>
      <c r="Y1744" s="96"/>
      <c r="Z1744" s="95"/>
      <c r="AB1744" s="94"/>
    </row>
    <row r="1745" spans="24:28">
      <c r="X1745" s="96"/>
      <c r="Y1745" s="96"/>
      <c r="Z1745" s="95"/>
      <c r="AB1745" s="94"/>
    </row>
    <row r="1746" spans="24:28">
      <c r="X1746" s="96"/>
      <c r="Y1746" s="96"/>
      <c r="Z1746" s="95"/>
      <c r="AB1746" s="94"/>
    </row>
    <row r="1747" spans="24:28">
      <c r="X1747" s="96"/>
      <c r="Y1747" s="96"/>
      <c r="Z1747" s="95"/>
      <c r="AB1747" s="94"/>
    </row>
    <row r="1748" spans="24:28">
      <c r="X1748" s="96"/>
      <c r="Y1748" s="96"/>
      <c r="Z1748" s="95"/>
      <c r="AB1748" s="94"/>
    </row>
    <row r="1749" spans="24:28">
      <c r="X1749" s="96"/>
      <c r="Y1749" s="96"/>
      <c r="Z1749" s="95"/>
      <c r="AB1749" s="94"/>
    </row>
  </sheetData>
  <mergeCells count="5">
    <mergeCell ref="D32:N32"/>
    <mergeCell ref="D3:D7"/>
    <mergeCell ref="D8:D10"/>
    <mergeCell ref="D12:D14"/>
    <mergeCell ref="D20:I20"/>
  </mergeCells>
  <conditionalFormatting sqref="F4:M6">
    <cfRule type="expression" dxfId="30" priority="29">
      <formula>AND(OR(PPIRR_DispIncr="Top",PPIRR_DispIncr="Both"),PPIRR_Increments=4)</formula>
    </cfRule>
  </conditionalFormatting>
  <conditionalFormatting sqref="F5:M7">
    <cfRule type="expression" dxfId="29" priority="28">
      <formula>AND(OR(PPIRR_DispIncr="Top",PPIRR_DispIncr="Both"),PPIRR_Increments=3)</formula>
    </cfRule>
  </conditionalFormatting>
  <conditionalFormatting sqref="F6:M8">
    <cfRule type="expression" dxfId="28" priority="27">
      <formula>AND(OR(PPIRR_DispIncr="Top",PPIRR_DispIncr="Both"),PPIRR_Increments=2)</formula>
    </cfRule>
  </conditionalFormatting>
  <conditionalFormatting sqref="F7:M9">
    <cfRule type="expression" dxfId="27" priority="26">
      <formula>AND(OR(PPIRR_DispIncr="Top",PPIRR_DispIncr="Both"),PPIRR_Increments=1)</formula>
    </cfRule>
  </conditionalFormatting>
  <conditionalFormatting sqref="F8:M10">
    <cfRule type="expression" dxfId="26" priority="22">
      <formula>AND(PPIRR_Increments=5,OR(PPIRR_DispIncr="Top",PPIRR_DispIncr="Both"))</formula>
    </cfRule>
    <cfRule type="expression" dxfId="25" priority="24">
      <formula>PPIRR_DispIncr="Bottom"</formula>
    </cfRule>
    <cfRule type="expression" dxfId="24" priority="25">
      <formula>PPIRR_Increments=0</formula>
    </cfRule>
  </conditionalFormatting>
  <conditionalFormatting sqref="F9:M10">
    <cfRule type="expression" dxfId="23" priority="21">
      <formula>AND(PPIRR_Increments=4,OR(PPIRR_DispIncr="Top",PPIRR_DispIncr="Both"))</formula>
    </cfRule>
  </conditionalFormatting>
  <conditionalFormatting sqref="F10:M10">
    <cfRule type="expression" dxfId="22" priority="20">
      <formula>AND(OR(PPIRR_Increments=3,PPIRR_Increments=2,PPIRR_Increments=1),OR(PPIRR_DispIncr="Top",PPIRR_DispIncr="Both"))</formula>
    </cfRule>
  </conditionalFormatting>
  <conditionalFormatting sqref="F12:M14">
    <cfRule type="expression" dxfId="21" priority="19">
      <formula>AND(PPIRR_Increments=5,OR(PPIRR_DispIncr="Bottom",PPIRR_DispIncr="Both"))</formula>
    </cfRule>
  </conditionalFormatting>
  <conditionalFormatting sqref="F12:M13">
    <cfRule type="expression" dxfId="20" priority="18">
      <formula>AND(PPIRR_Increments=4,OR(PPIRR_DispIncr="Bottom",PPIRR_DispIncr="Both"))</formula>
    </cfRule>
  </conditionalFormatting>
  <conditionalFormatting sqref="F12:M12">
    <cfRule type="expression" dxfId="19" priority="17">
      <formula>AND(OR(PPIRR_Increments=3,PPIRR_Increments=2,PPIRR_Increments=1),OR(PPIRR_DispIncr="Bottom",PPIRR_DispIncr="Both"))</formula>
    </cfRule>
  </conditionalFormatting>
  <conditionalFormatting sqref="F3:M5">
    <cfRule type="expression" dxfId="18" priority="16">
      <formula>AND(OR(PPIRR_DispIncr="Top",PPIRR_DispIncr="Both"),PPIRR_Increments=5)</formula>
    </cfRule>
  </conditionalFormatting>
  <conditionalFormatting sqref="J3">
    <cfRule type="expression" dxfId="17" priority="15">
      <formula>AND(OR(PPIRR_DispIncr="Top",PPIRR_DispIncr="Both"),PPIRR_Increments=5)</formula>
    </cfRule>
  </conditionalFormatting>
  <conditionalFormatting sqref="K3">
    <cfRule type="expression" dxfId="16" priority="14">
      <formula>AND(OR(PPIRR_DispIncr="Top",PPIRR_DispIncr="Both"),PPIRR_Increments=5)</formula>
    </cfRule>
  </conditionalFormatting>
  <conditionalFormatting sqref="N4:N6">
    <cfRule type="expression" dxfId="15" priority="13">
      <formula>AND(OR(PPIRR_DispIncr="Top",PPIRR_DispIncr="Both"),PPIRR_Increments=4)</formula>
    </cfRule>
  </conditionalFormatting>
  <conditionalFormatting sqref="N5:N7">
    <cfRule type="expression" dxfId="14" priority="12">
      <formula>AND(OR(PPIRR_DispIncr="Top",PPIRR_DispIncr="Both"),PPIRR_Increments=3)</formula>
    </cfRule>
  </conditionalFormatting>
  <conditionalFormatting sqref="N6:N8">
    <cfRule type="expression" dxfId="13" priority="11">
      <formula>AND(OR(PPIRR_DispIncr="Top",PPIRR_DispIncr="Both"),PPIRR_Increments=2)</formula>
    </cfRule>
  </conditionalFormatting>
  <conditionalFormatting sqref="N7:N9">
    <cfRule type="expression" dxfId="12" priority="10">
      <formula>AND(OR(PPIRR_DispIncr="Top",PPIRR_DispIncr="Both"),PPIRR_Increments=1)</formula>
    </cfRule>
  </conditionalFormatting>
  <conditionalFormatting sqref="N8:N10">
    <cfRule type="expression" dxfId="11" priority="7">
      <formula>AND(PPIRR_Increments=5,OR(PPIRR_DispIncr="Top",PPIRR_DispIncr="Both"))</formula>
    </cfRule>
    <cfRule type="expression" dxfId="10" priority="8">
      <formula>PPIRR_DispIncr="Bottom"</formula>
    </cfRule>
    <cfRule type="expression" dxfId="9" priority="9">
      <formula>PPIRR_Increments=0</formula>
    </cfRule>
  </conditionalFormatting>
  <conditionalFormatting sqref="N9:N10">
    <cfRule type="expression" dxfId="8" priority="6">
      <formula>AND(PPIRR_Increments=4,OR(PPIRR_DispIncr="Top",PPIRR_DispIncr="Both"))</formula>
    </cfRule>
  </conditionalFormatting>
  <conditionalFormatting sqref="N10">
    <cfRule type="expression" dxfId="7" priority="5">
      <formula>AND(OR(PPIRR_Increments=3,PPIRR_Increments=2,PPIRR_Increments=1),OR(PPIRR_DispIncr="Top",PPIRR_DispIncr="Both"))</formula>
    </cfRule>
  </conditionalFormatting>
  <conditionalFormatting sqref="N12:N14">
    <cfRule type="expression" dxfId="6" priority="4">
      <formula>AND(PPIRR_Increments=5,OR(PPIRR_DispIncr="Bottom",PPIRR_DispIncr="Both"))</formula>
    </cfRule>
  </conditionalFormatting>
  <conditionalFormatting sqref="N12:N13">
    <cfRule type="expression" dxfId="5" priority="3">
      <formula>AND(PPIRR_Increments=4,OR(PPIRR_DispIncr="Bottom",PPIRR_DispIncr="Both"))</formula>
    </cfRule>
  </conditionalFormatting>
  <conditionalFormatting sqref="N12">
    <cfRule type="expression" dxfId="4" priority="2">
      <formula>AND(OR(PPIRR_Increments=3,PPIRR_Increments=2,PPIRR_Increments=1),OR(PPIRR_DispIncr="Bottom",PPIRR_DispIncr="Both"))</formula>
    </cfRule>
  </conditionalFormatting>
  <conditionalFormatting sqref="N3:N5">
    <cfRule type="expression" dxfId="3" priority="1">
      <formula>AND(OR(PPIRR_DispIncr="Top",PPIRR_DispIncr="Both"),PPIRR_Increments=5)</formula>
    </cfRule>
  </conditionalFormatting>
  <dataValidations count="2">
    <dataValidation type="list" allowBlank="1" showInputMessage="1" showErrorMessage="1" sqref="Q3" xr:uid="{00000000-0002-0000-1800-000000000000}">
      <formula1>"0,1,2,3,4,5"</formula1>
    </dataValidation>
    <dataValidation type="list" allowBlank="1" showInputMessage="1" showErrorMessage="1" sqref="Q4" xr:uid="{00000000-0002-0000-1800-000001000000}">
      <formula1>"Both, Top, Bottom"</formula1>
    </dataValidation>
  </dataValidations>
  <printOptions horizontalCentered="1" verticalCentered="1"/>
  <pageMargins left="0.5" right="0.5" top="1.75" bottom="0.5" header="0" footer="0"/>
  <pageSetup scale="91" fitToHeight="0" orientation="landscape" cellComments="atEnd" r:id="rId1"/>
  <customProperties>
    <customPr name="GUID" r:id="rId2"/>
  </customPropertie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8" tint="0.249977111117893"/>
  </sheetPr>
  <dimension ref="A1:S81"/>
  <sheetViews>
    <sheetView showGridLines="0" zoomScale="160" zoomScaleNormal="160" zoomScaleSheetLayoutView="89" workbookViewId="0">
      <selection activeCell="L16" sqref="L16"/>
    </sheetView>
  </sheetViews>
  <sheetFormatPr defaultColWidth="9.140625" defaultRowHeight="9"/>
  <cols>
    <col min="1" max="1" width="7" style="20" customWidth="1"/>
    <col min="2" max="2" width="23" style="20" customWidth="1"/>
    <col min="3" max="3" width="11.85546875" style="20" customWidth="1"/>
    <col min="4" max="4" width="2.42578125" style="20" customWidth="1"/>
    <col min="5" max="5" width="23" style="20" customWidth="1"/>
    <col min="6" max="6" width="11.85546875" style="20" customWidth="1"/>
    <col min="7" max="7" width="2.42578125" style="20" customWidth="1"/>
    <col min="8" max="8" width="22.85546875" style="20" customWidth="1"/>
    <col min="9" max="9" width="12" style="20" customWidth="1"/>
    <col min="10" max="10" width="2.42578125" style="20" customWidth="1"/>
    <col min="11" max="11" width="16.140625" style="20" customWidth="1"/>
    <col min="12" max="12" width="12.5703125" style="20" customWidth="1"/>
    <col min="13" max="13" width="9.42578125" style="20" customWidth="1"/>
    <col min="14" max="14" width="0" style="20" hidden="1" customWidth="1"/>
    <col min="15" max="16384" width="9.140625" style="20"/>
  </cols>
  <sheetData>
    <row r="1" spans="1:19" ht="13.5" customHeight="1">
      <c r="A1" s="645"/>
      <c r="B1" s="897"/>
      <c r="C1" s="897"/>
      <c r="D1" s="897"/>
      <c r="E1" s="645"/>
      <c r="F1" s="645"/>
      <c r="G1" s="645"/>
      <c r="H1" s="645"/>
      <c r="I1" s="645"/>
      <c r="J1" s="645"/>
      <c r="K1" s="645"/>
      <c r="L1" s="645"/>
      <c r="M1" s="645"/>
      <c r="N1" s="645"/>
      <c r="O1" s="645"/>
      <c r="P1" s="645"/>
      <c r="Q1" s="645"/>
      <c r="R1" s="645"/>
    </row>
    <row r="2" spans="1:19" ht="13.5" customHeight="1">
      <c r="A2" s="898"/>
      <c r="B2" s="899" t="s">
        <v>1856</v>
      </c>
      <c r="C2" s="900"/>
      <c r="D2" s="901"/>
      <c r="E2" s="902"/>
      <c r="F2" s="1149"/>
      <c r="G2" s="1150"/>
      <c r="H2" s="1150" t="s">
        <v>1857</v>
      </c>
      <c r="I2" s="1145" t="s">
        <v>78</v>
      </c>
      <c r="J2" s="902"/>
      <c r="K2" s="645"/>
      <c r="L2" s="645"/>
      <c r="M2" s="645"/>
      <c r="N2" s="645"/>
      <c r="O2" s="645"/>
      <c r="P2" s="645"/>
      <c r="Q2" s="645"/>
      <c r="R2" s="645"/>
    </row>
    <row r="3" spans="1:19" ht="13.5" customHeight="1">
      <c r="A3" s="645"/>
      <c r="B3" s="902"/>
      <c r="C3" s="902"/>
      <c r="D3" s="902"/>
      <c r="E3" s="902"/>
      <c r="F3" s="902"/>
      <c r="G3" s="902"/>
      <c r="H3" s="902"/>
      <c r="I3" s="903"/>
      <c r="J3" s="902"/>
      <c r="K3" s="645"/>
      <c r="L3" s="645"/>
      <c r="M3" s="645"/>
      <c r="N3" s="645"/>
      <c r="O3" s="645"/>
      <c r="P3" s="645"/>
      <c r="Q3" s="645"/>
      <c r="R3" s="645"/>
    </row>
    <row r="4" spans="1:19" s="22" customFormat="1" ht="13.5" customHeight="1">
      <c r="A4" s="652"/>
      <c r="B4" s="902"/>
      <c r="C4" s="902"/>
      <c r="D4" s="902"/>
      <c r="E4" s="902"/>
      <c r="F4" s="902"/>
      <c r="G4" s="902"/>
      <c r="H4" s="902"/>
      <c r="I4" s="903"/>
      <c r="J4" s="902"/>
      <c r="K4" s="652"/>
      <c r="L4" s="652"/>
      <c r="M4" s="652"/>
      <c r="N4" s="652"/>
      <c r="O4" s="652"/>
      <c r="P4" s="652"/>
      <c r="Q4" s="652"/>
      <c r="R4" s="652"/>
    </row>
    <row r="5" spans="1:19" s="257" customFormat="1" ht="13.5" customHeight="1">
      <c r="A5" s="904"/>
      <c r="B5" s="1500" t="s">
        <v>1858</v>
      </c>
      <c r="C5" s="1501"/>
      <c r="D5" s="1502"/>
      <c r="E5" s="1500" t="s">
        <v>1859</v>
      </c>
      <c r="F5" s="1503"/>
      <c r="G5" s="1502"/>
      <c r="H5" s="1502"/>
      <c r="I5" s="1504"/>
      <c r="J5" s="904"/>
      <c r="K5" s="904"/>
      <c r="L5" s="653"/>
      <c r="M5" s="653"/>
      <c r="N5" s="653"/>
      <c r="O5" s="653"/>
      <c r="P5" s="653"/>
      <c r="Q5" s="653"/>
      <c r="R5" s="653"/>
      <c r="S5" s="586"/>
    </row>
    <row r="6" spans="1:19" s="257" customFormat="1" ht="13.5" customHeight="1">
      <c r="A6" s="904"/>
      <c r="B6" s="1505" t="s">
        <v>1860</v>
      </c>
      <c r="C6" s="1506">
        <f>'Pricing Detail'!G4</f>
        <v>9350000</v>
      </c>
      <c r="D6" s="1502"/>
      <c r="E6" s="1505" t="s">
        <v>123</v>
      </c>
      <c r="F6" s="1507">
        <v>1</v>
      </c>
      <c r="G6" s="1502"/>
      <c r="H6" s="1502"/>
      <c r="I6" s="1504"/>
      <c r="J6" s="904"/>
      <c r="K6" s="904"/>
      <c r="L6" s="653"/>
      <c r="M6" s="654" t="s">
        <v>1861</v>
      </c>
      <c r="N6" s="653">
        <f>IF(OR(ERO_H="",ERO_H="Hide",ERO_R="",ERO_R="Hide",ERO_S="",ERO_S="Hide"),1,0)</f>
        <v>1</v>
      </c>
      <c r="O6" s="653"/>
      <c r="P6" s="653"/>
      <c r="Q6" s="653"/>
      <c r="R6" s="653"/>
      <c r="S6" s="586"/>
    </row>
    <row r="7" spans="1:19" s="257" customFormat="1" ht="13.5" customHeight="1">
      <c r="A7" s="904"/>
      <c r="B7" s="1505" t="s">
        <v>1862</v>
      </c>
      <c r="C7" s="1508"/>
      <c r="D7" s="1502"/>
      <c r="E7" s="1505" t="s">
        <v>124</v>
      </c>
      <c r="F7" s="1507">
        <v>2</v>
      </c>
      <c r="G7" s="1502"/>
      <c r="H7" s="1502"/>
      <c r="I7" s="1504"/>
      <c r="J7" s="904"/>
      <c r="K7" s="904"/>
      <c r="L7" s="653"/>
      <c r="M7" s="654" t="s">
        <v>1863</v>
      </c>
      <c r="N7" s="906">
        <f>IF(OR(ERO_SE="",ERO_SE="Hide",ERO_R="",ERO_R="Hide",ERO_S="",ERO_S="Hide"),1,0)</f>
        <v>1</v>
      </c>
      <c r="O7" s="653"/>
      <c r="P7" s="653"/>
      <c r="Q7" s="653"/>
      <c r="R7" s="653"/>
      <c r="S7" s="586"/>
    </row>
    <row r="8" spans="1:19" s="257" customFormat="1" ht="13.5" customHeight="1">
      <c r="A8" s="904"/>
      <c r="B8" s="1509" t="s">
        <v>1864</v>
      </c>
      <c r="C8" s="1506">
        <f>IF(SwitchExistingDebt="Yes, Loan Amount is Known",IF(Input!B45="",0,Input!B45),IF(SwitchExistingDebt="Yes, Loan Amount is Estimated",IF(InputEOrigLoanAmt=0,"",InputEOrigLoanAmt),0))</f>
        <v>0</v>
      </c>
      <c r="D8" s="1502"/>
      <c r="E8" s="1505" t="s">
        <v>121</v>
      </c>
      <c r="F8" s="1507">
        <v>3</v>
      </c>
      <c r="G8" s="1502"/>
      <c r="H8" s="1502"/>
      <c r="I8" s="1504"/>
      <c r="J8" s="904"/>
      <c r="K8" s="906"/>
      <c r="L8" s="653"/>
      <c r="M8" s="654" t="s">
        <v>1865</v>
      </c>
      <c r="N8" s="653">
        <f>IF(OR(ERO_SE="",ERO_SE="Hide",ERO_S="",ERO_S="Hide",ERO_H="",ERO_H="Hide"),1,0)</f>
        <v>1</v>
      </c>
      <c r="O8" s="653"/>
      <c r="P8" s="653"/>
      <c r="Q8" s="653"/>
      <c r="R8" s="653"/>
      <c r="S8" s="586"/>
    </row>
    <row r="9" spans="1:19" s="257" customFormat="1" ht="13.5" customHeight="1">
      <c r="A9" s="904"/>
      <c r="B9" s="1509" t="s">
        <v>1866</v>
      </c>
      <c r="C9" s="1506">
        <f>Input!B53</f>
        <v>0</v>
      </c>
      <c r="D9" s="1502"/>
      <c r="E9" s="1510" t="s">
        <v>122</v>
      </c>
      <c r="F9" s="1507" t="s">
        <v>120</v>
      </c>
      <c r="G9" s="1502"/>
      <c r="H9" s="1502"/>
      <c r="I9" s="1504"/>
      <c r="J9" s="904"/>
      <c r="K9" s="906"/>
      <c r="L9" s="653"/>
      <c r="M9" s="653"/>
      <c r="N9" s="653"/>
      <c r="O9" s="653"/>
      <c r="P9" s="653"/>
      <c r="Q9" s="653"/>
      <c r="R9" s="653"/>
      <c r="S9" s="586"/>
    </row>
    <row r="10" spans="1:19" s="257" customFormat="1" ht="13.5" customHeight="1">
      <c r="A10" s="904"/>
      <c r="B10" s="1511" t="s">
        <v>85</v>
      </c>
      <c r="C10" s="1512">
        <f>C6-C7-C8-C9</f>
        <v>9350000</v>
      </c>
      <c r="D10" s="1502"/>
      <c r="E10" s="1513"/>
      <c r="F10" s="1340"/>
      <c r="G10" s="1502"/>
      <c r="H10" s="1502"/>
      <c r="I10" s="1504"/>
      <c r="J10" s="904"/>
      <c r="K10" s="906"/>
      <c r="L10" s="653"/>
      <c r="M10" s="654" t="s">
        <v>1861</v>
      </c>
      <c r="N10" s="653">
        <f>IF(OR(ERO_H="",ERO_H="Hide",ERO_R="",ERO_R="Hide",ERO_S="",ERO_S="Hide"),1,0)</f>
        <v>1</v>
      </c>
      <c r="O10" s="653"/>
      <c r="P10" s="653"/>
      <c r="Q10" s="653"/>
      <c r="R10" s="653"/>
      <c r="S10" s="586"/>
    </row>
    <row r="11" spans="1:19" s="22" customFormat="1" ht="13.5" customHeight="1">
      <c r="A11" s="652"/>
      <c r="B11" s="1514"/>
      <c r="C11" s="1514"/>
      <c r="D11" s="1515"/>
      <c r="E11" s="1515"/>
      <c r="F11" s="1515"/>
      <c r="G11" s="1515"/>
      <c r="H11" s="1515"/>
      <c r="I11" s="1516"/>
      <c r="J11" s="652"/>
      <c r="K11" s="656"/>
      <c r="L11" s="653"/>
      <c r="M11" s="654" t="s">
        <v>1863</v>
      </c>
      <c r="N11" s="653">
        <f>IF(OR(ERO_SE="",ERO_SE="Hide",ERO_R="",ERO_R="Hide",ERO_S="",ERO_S="Hide"),1,0)</f>
        <v>1</v>
      </c>
      <c r="O11" s="657"/>
      <c r="P11" s="657"/>
      <c r="Q11" s="657"/>
      <c r="R11" s="657"/>
      <c r="S11" s="587"/>
    </row>
    <row r="12" spans="1:19" s="366" customFormat="1" ht="13.5" customHeight="1">
      <c r="A12" s="645"/>
      <c r="B12" s="1631" t="s">
        <v>1867</v>
      </c>
      <c r="C12" s="1631"/>
      <c r="D12" s="1238"/>
      <c r="E12" s="1631" t="s">
        <v>1868</v>
      </c>
      <c r="F12" s="1631"/>
      <c r="G12" s="1238"/>
      <c r="H12" s="1631" t="s">
        <v>1869</v>
      </c>
      <c r="I12" s="1631"/>
      <c r="J12" s="1182"/>
      <c r="K12" s="1182"/>
      <c r="L12" s="1182"/>
      <c r="M12" s="593" t="str">
        <f>B12</f>
        <v>SELL &amp; EXCHANGE</v>
      </c>
      <c r="N12" s="658">
        <f t="shared" ref="N12:S12" si="0">C12</f>
        <v>0</v>
      </c>
      <c r="O12" s="658">
        <f t="shared" si="0"/>
        <v>0</v>
      </c>
      <c r="P12" s="658" t="str">
        <f t="shared" si="0"/>
        <v>HOLD</v>
      </c>
      <c r="Q12" s="658">
        <f t="shared" si="0"/>
        <v>0</v>
      </c>
      <c r="R12" s="658">
        <f t="shared" si="0"/>
        <v>0</v>
      </c>
      <c r="S12" s="588" t="str">
        <f t="shared" si="0"/>
        <v>REFINANCE</v>
      </c>
    </row>
    <row r="13" spans="1:19" ht="13.5" customHeight="1">
      <c r="A13" s="986"/>
      <c r="B13" s="1517" t="s">
        <v>1870</v>
      </c>
      <c r="C13" s="1518"/>
      <c r="D13" s="1245"/>
      <c r="E13" s="1517" t="s">
        <v>1870</v>
      </c>
      <c r="F13" s="1519" t="s">
        <v>1847</v>
      </c>
      <c r="G13" s="1245"/>
      <c r="H13" s="1517" t="s">
        <v>1870</v>
      </c>
      <c r="I13" s="1519" t="s">
        <v>1847</v>
      </c>
      <c r="J13" s="634"/>
      <c r="K13" s="634"/>
      <c r="L13" s="634"/>
      <c r="M13" s="593"/>
      <c r="N13" s="593"/>
      <c r="O13" s="593"/>
      <c r="P13" s="593"/>
      <c r="Q13" s="593"/>
      <c r="R13" s="593"/>
      <c r="S13" s="84"/>
    </row>
    <row r="14" spans="1:19" ht="13.5" customHeight="1">
      <c r="A14" s="986"/>
      <c r="B14" s="1520" t="s">
        <v>1871</v>
      </c>
      <c r="C14" s="1521"/>
      <c r="D14" s="1245"/>
      <c r="E14" s="1520" t="s">
        <v>1871</v>
      </c>
      <c r="F14" s="1522"/>
      <c r="G14" s="1245"/>
      <c r="H14" s="1520" t="s">
        <v>1871</v>
      </c>
      <c r="I14" s="1523">
        <f>$F$14</f>
        <v>0</v>
      </c>
      <c r="J14" s="634"/>
      <c r="K14" s="634"/>
      <c r="L14" s="634"/>
      <c r="M14" s="597"/>
      <c r="N14" s="597"/>
      <c r="O14" s="597"/>
      <c r="P14" s="597"/>
      <c r="Q14" s="597"/>
      <c r="R14" s="597"/>
    </row>
    <row r="15" spans="1:19" ht="13.5" customHeight="1">
      <c r="A15" s="986"/>
      <c r="B15" s="1520" t="s">
        <v>1872</v>
      </c>
      <c r="C15" s="1521"/>
      <c r="D15" s="1245"/>
      <c r="E15" s="1520" t="s">
        <v>1872</v>
      </c>
      <c r="F15" s="1521"/>
      <c r="G15" s="1245"/>
      <c r="H15" s="1520" t="s">
        <v>1872</v>
      </c>
      <c r="I15" s="1524">
        <f>$F$15</f>
        <v>0</v>
      </c>
      <c r="J15" s="634"/>
      <c r="K15" s="634"/>
      <c r="L15" s="634"/>
      <c r="M15" s="597"/>
      <c r="N15" s="597"/>
      <c r="O15" s="597"/>
      <c r="P15" s="597"/>
      <c r="Q15" s="597"/>
      <c r="R15" s="597"/>
    </row>
    <row r="16" spans="1:19" ht="13.5" customHeight="1">
      <c r="A16" s="986"/>
      <c r="B16" s="1525" t="s">
        <v>0</v>
      </c>
      <c r="C16" s="1526"/>
      <c r="D16" s="1245"/>
      <c r="E16" s="1525" t="s">
        <v>0</v>
      </c>
      <c r="F16" s="1527">
        <f ca="1">OFFSET(ERO_SaleStart,1,1)</f>
        <v>9350000</v>
      </c>
      <c r="G16" s="1245"/>
      <c r="H16" s="1525" t="s">
        <v>1873</v>
      </c>
      <c r="I16" s="1527">
        <f ca="1">OFFSET(ERO_SaleStart,1,1)</f>
        <v>9350000</v>
      </c>
      <c r="J16" s="634"/>
      <c r="K16" s="634"/>
      <c r="L16" s="634"/>
      <c r="M16" s="597"/>
      <c r="N16" s="597"/>
      <c r="O16" s="597"/>
      <c r="P16" s="597"/>
      <c r="Q16" s="597"/>
      <c r="R16" s="597"/>
    </row>
    <row r="17" spans="1:18" ht="13.5" customHeight="1">
      <c r="A17" s="986"/>
      <c r="B17" s="1528" t="s">
        <v>1784</v>
      </c>
      <c r="C17" s="1529">
        <f>IF(C16=0,0,C24/C16)</f>
        <v>0</v>
      </c>
      <c r="D17" s="1245"/>
      <c r="E17" s="1528" t="s">
        <v>1784</v>
      </c>
      <c r="F17" s="1529">
        <f ca="1">IF(F16=0,0,F24/F16)</f>
        <v>4.7683000641711229E-2</v>
      </c>
      <c r="G17" s="1245"/>
      <c r="H17" s="1528" t="s">
        <v>1616</v>
      </c>
      <c r="I17" s="1530"/>
      <c r="J17" s="634"/>
      <c r="K17" s="634"/>
      <c r="L17" s="634"/>
      <c r="M17" s="597"/>
      <c r="N17" s="597"/>
      <c r="O17" s="597"/>
      <c r="P17" s="597"/>
      <c r="Q17" s="597"/>
      <c r="R17" s="597"/>
    </row>
    <row r="18" spans="1:18" ht="13.5" customHeight="1">
      <c r="A18" s="986"/>
      <c r="B18" s="1528" t="s">
        <v>1616</v>
      </c>
      <c r="C18" s="1529">
        <f>IF(C16=0,0, C20/C16)</f>
        <v>0</v>
      </c>
      <c r="D18" s="1245"/>
      <c r="E18" s="1528" t="s">
        <v>1616</v>
      </c>
      <c r="F18" s="1529">
        <f ca="1">IF(F16=0,0, F20/F16)</f>
        <v>0</v>
      </c>
      <c r="G18" s="1245"/>
      <c r="H18" s="1528" t="s">
        <v>1874</v>
      </c>
      <c r="I18" s="1531">
        <f ca="1">OFFSET(ERO_SaleStart,3,1)</f>
        <v>0</v>
      </c>
      <c r="J18" s="634"/>
      <c r="K18" s="634"/>
      <c r="L18" s="634"/>
      <c r="M18" s="597"/>
      <c r="N18" s="597"/>
      <c r="O18" s="597"/>
      <c r="P18" s="597"/>
      <c r="Q18" s="597"/>
      <c r="R18" s="597"/>
    </row>
    <row r="19" spans="1:18" ht="13.5" customHeight="1">
      <c r="A19" s="986"/>
      <c r="B19" s="1528" t="s">
        <v>1875</v>
      </c>
      <c r="C19" s="1531">
        <f ca="1">OFFSET(ERO_SaleStart,5,1)</f>
        <v>9350000</v>
      </c>
      <c r="D19" s="1245"/>
      <c r="E19" s="1528" t="s">
        <v>1876</v>
      </c>
      <c r="F19" s="1531">
        <f ca="1">F16-F20</f>
        <v>9350000</v>
      </c>
      <c r="G19" s="1245"/>
      <c r="H19" s="1528" t="s">
        <v>1877</v>
      </c>
      <c r="I19" s="1531">
        <f ca="1">I17*I16</f>
        <v>0</v>
      </c>
      <c r="J19" s="634"/>
      <c r="K19" s="634"/>
      <c r="L19" s="634"/>
      <c r="M19" s="597"/>
      <c r="N19" s="597"/>
      <c r="O19" s="597"/>
      <c r="P19" s="597"/>
      <c r="Q19" s="597"/>
      <c r="R19" s="597"/>
    </row>
    <row r="20" spans="1:18" ht="13.5" customHeight="1">
      <c r="A20" s="986"/>
      <c r="B20" s="1528" t="s">
        <v>7</v>
      </c>
      <c r="C20" s="1531">
        <f ca="1">C16-C19</f>
        <v>-9350000</v>
      </c>
      <c r="D20" s="1245"/>
      <c r="E20" s="1528" t="s">
        <v>1878</v>
      </c>
      <c r="F20" s="1531">
        <f ca="1">OFFSET(ERO_SaleStart,3,1)</f>
        <v>0</v>
      </c>
      <c r="G20" s="1245"/>
      <c r="H20" s="1528" t="s">
        <v>1879</v>
      </c>
      <c r="I20" s="1531">
        <f ca="1">I19-I18</f>
        <v>0</v>
      </c>
      <c r="J20" s="634"/>
      <c r="K20" s="634"/>
      <c r="L20" s="634"/>
      <c r="M20" s="597"/>
      <c r="N20" s="597"/>
      <c r="O20" s="597"/>
      <c r="P20" s="597"/>
      <c r="Q20" s="597"/>
      <c r="R20" s="597"/>
    </row>
    <row r="21" spans="1:18" ht="13.5" customHeight="1">
      <c r="A21" s="986"/>
      <c r="B21" s="1528" t="s">
        <v>10</v>
      </c>
      <c r="C21" s="1530"/>
      <c r="D21" s="1245"/>
      <c r="E21" s="1528" t="s">
        <v>10</v>
      </c>
      <c r="F21" s="1524" t="s">
        <v>1880</v>
      </c>
      <c r="G21" s="1245"/>
      <c r="H21" s="1528" t="s">
        <v>10</v>
      </c>
      <c r="I21" s="1530"/>
      <c r="J21" s="634"/>
      <c r="K21" s="634"/>
      <c r="L21" s="634"/>
      <c r="M21" s="597"/>
      <c r="N21" s="597"/>
      <c r="O21" s="597"/>
      <c r="P21" s="597"/>
      <c r="Q21" s="597"/>
      <c r="R21" s="597"/>
    </row>
    <row r="22" spans="1:18" ht="13.5" customHeight="1">
      <c r="A22" s="986"/>
      <c r="B22" s="1528" t="s">
        <v>12</v>
      </c>
      <c r="C22" s="1521"/>
      <c r="D22" s="1245"/>
      <c r="E22" s="1528" t="s">
        <v>12</v>
      </c>
      <c r="F22" s="1524" t="s">
        <v>1880</v>
      </c>
      <c r="G22" s="1245"/>
      <c r="H22" s="1528" t="s">
        <v>12</v>
      </c>
      <c r="I22" s="1521"/>
      <c r="J22" s="634"/>
      <c r="K22" s="634"/>
      <c r="L22" s="634"/>
      <c r="M22" s="597"/>
      <c r="N22" s="597"/>
      <c r="O22" s="597"/>
      <c r="P22" s="597"/>
      <c r="Q22" s="597"/>
      <c r="R22" s="597"/>
    </row>
    <row r="23" spans="1:18" ht="13.5" customHeight="1">
      <c r="A23" s="986"/>
      <c r="B23" s="1528" t="s">
        <v>16</v>
      </c>
      <c r="C23" s="1521"/>
      <c r="D23" s="1245"/>
      <c r="E23" s="1528" t="s">
        <v>16</v>
      </c>
      <c r="F23" s="1524" t="s">
        <v>1880</v>
      </c>
      <c r="G23" s="1245"/>
      <c r="H23" s="1528" t="s">
        <v>16</v>
      </c>
      <c r="I23" s="1521"/>
      <c r="J23" s="634"/>
      <c r="K23" s="634"/>
      <c r="L23" s="634"/>
      <c r="M23" s="597"/>
      <c r="N23" s="597"/>
      <c r="O23" s="597"/>
      <c r="P23" s="597"/>
      <c r="Q23" s="597"/>
      <c r="R23" s="597"/>
    </row>
    <row r="24" spans="1:18" ht="13.5" customHeight="1">
      <c r="A24" s="986"/>
      <c r="B24" s="1532" t="s">
        <v>1881</v>
      </c>
      <c r="C24" s="1533"/>
      <c r="D24" s="1245"/>
      <c r="E24" s="1532" t="s">
        <v>1881</v>
      </c>
      <c r="F24" s="1534">
        <f ca="1">OFFSET('Operating Statement'!Q41,0,-IFERROR(OS_YrsHist+2-MATCH(I2, ddl_OpColumns, 0),1)*2,1,1)</f>
        <v>445836.05599999998</v>
      </c>
      <c r="G24" s="1245"/>
      <c r="H24" s="1532" t="s">
        <v>1881</v>
      </c>
      <c r="I24" s="1534">
        <f ca="1">OFFSET('Operating Statement'!Q41,0,-IFERROR(OS_YrsHist+2-MATCH(I2, ddl_OpColumns, 0),1)*2,1,1)</f>
        <v>445836.05599999998</v>
      </c>
      <c r="J24" s="634"/>
      <c r="K24" s="634"/>
      <c r="L24" s="634"/>
      <c r="M24" s="597"/>
      <c r="N24" s="597"/>
      <c r="O24" s="597"/>
      <c r="P24" s="597"/>
      <c r="Q24" s="597"/>
      <c r="R24" s="597"/>
    </row>
    <row r="25" spans="1:18" ht="13.5" customHeight="1">
      <c r="A25" s="986"/>
      <c r="B25" s="1528" t="s">
        <v>1882</v>
      </c>
      <c r="C25" s="1531">
        <f>IF(C22=0,0,-PMT(C21/12,C22*12,20:20)*12)</f>
        <v>0</v>
      </c>
      <c r="D25" s="1245"/>
      <c r="E25" s="1528" t="s">
        <v>1882</v>
      </c>
      <c r="F25" s="1531">
        <v>0</v>
      </c>
      <c r="G25" s="1245"/>
      <c r="H25" s="1528" t="s">
        <v>1882</v>
      </c>
      <c r="I25" s="1531">
        <f>IF(I22=0,0,-PMT(I21/12,I22*12,I19)*12)</f>
        <v>0</v>
      </c>
      <c r="J25" s="634"/>
      <c r="K25" s="634"/>
      <c r="L25" s="634"/>
      <c r="M25" s="597"/>
      <c r="N25" s="597"/>
      <c r="O25" s="597"/>
      <c r="P25" s="597"/>
      <c r="Q25" s="597"/>
      <c r="R25" s="597"/>
    </row>
    <row r="26" spans="1:18" ht="13.5" customHeight="1">
      <c r="A26" s="986"/>
      <c r="B26" s="1535" t="s">
        <v>1883</v>
      </c>
      <c r="C26" s="1536">
        <f>C24-C25</f>
        <v>0</v>
      </c>
      <c r="D26" s="1245"/>
      <c r="E26" s="1535" t="s">
        <v>1883</v>
      </c>
      <c r="F26" s="1536">
        <f ca="1">F24-F25</f>
        <v>445836.05599999998</v>
      </c>
      <c r="G26" s="1245"/>
      <c r="H26" s="1535" t="s">
        <v>1883</v>
      </c>
      <c r="I26" s="1536">
        <f ca="1">I24-I25</f>
        <v>445836.05599999998</v>
      </c>
      <c r="J26" s="634"/>
      <c r="K26" s="634"/>
      <c r="L26" s="634"/>
      <c r="M26" s="597"/>
      <c r="N26" s="597"/>
      <c r="O26" s="597"/>
      <c r="P26" s="597"/>
      <c r="Q26" s="597"/>
      <c r="R26" s="597"/>
    </row>
    <row r="27" spans="1:18" ht="13.5" customHeight="1">
      <c r="A27" s="986"/>
      <c r="B27" s="1537" t="s">
        <v>1884</v>
      </c>
      <c r="C27" s="1538">
        <f ca="1">IFERROR(C26/C19,"")</f>
        <v>0</v>
      </c>
      <c r="D27" s="1245"/>
      <c r="E27" s="1537" t="s">
        <v>1884</v>
      </c>
      <c r="F27" s="1538">
        <f ca="1">IFERROR(F26/F19,"")</f>
        <v>4.7683000641711229E-2</v>
      </c>
      <c r="G27" s="1245"/>
      <c r="H27" s="1537" t="s">
        <v>1884</v>
      </c>
      <c r="I27" s="1538">
        <f ca="1">IF(I16-I18=0,0,I26/(I16-I19))</f>
        <v>4.7683000641711229E-2</v>
      </c>
      <c r="J27" s="634"/>
      <c r="K27" s="634"/>
      <c r="L27" s="634"/>
      <c r="M27" s="597"/>
      <c r="N27" s="597"/>
      <c r="O27" s="597"/>
      <c r="P27" s="597"/>
      <c r="Q27" s="597"/>
      <c r="R27" s="597"/>
    </row>
    <row r="28" spans="1:18" ht="13.5" customHeight="1">
      <c r="A28" s="645"/>
      <c r="B28" s="1183"/>
      <c r="C28" s="645"/>
      <c r="D28" s="645"/>
      <c r="E28" s="1094"/>
      <c r="F28" s="645"/>
      <c r="G28" s="645"/>
      <c r="H28" s="1090"/>
      <c r="I28" s="651"/>
      <c r="J28" s="651"/>
      <c r="K28" s="597"/>
      <c r="L28" s="597"/>
      <c r="M28" s="597"/>
      <c r="N28" s="597"/>
      <c r="O28" s="597"/>
      <c r="P28" s="597"/>
      <c r="Q28" s="597"/>
      <c r="R28" s="597"/>
    </row>
    <row r="29" spans="1:18" ht="13.5" customHeight="1">
      <c r="A29" s="645"/>
      <c r="B29" s="1632" t="s">
        <v>895</v>
      </c>
      <c r="C29" s="1633"/>
      <c r="D29" s="1633"/>
      <c r="E29" s="1633"/>
      <c r="F29" s="1633"/>
      <c r="G29" s="1633"/>
      <c r="H29" s="1633"/>
      <c r="I29" s="1634"/>
      <c r="J29" s="645"/>
      <c r="K29" s="597"/>
      <c r="L29" s="597"/>
      <c r="M29" s="597"/>
      <c r="N29" s="597"/>
      <c r="O29" s="597"/>
      <c r="P29" s="597"/>
      <c r="Q29" s="597"/>
      <c r="R29" s="597"/>
    </row>
    <row r="30" spans="1:18" ht="13.5" customHeight="1">
      <c r="A30" s="645"/>
      <c r="B30" s="1635"/>
      <c r="C30" s="1636"/>
      <c r="D30" s="1636"/>
      <c r="E30" s="1636"/>
      <c r="F30" s="1636"/>
      <c r="G30" s="1636"/>
      <c r="H30" s="1636"/>
      <c r="I30" s="1637"/>
      <c r="J30" s="645"/>
      <c r="K30" s="597"/>
      <c r="L30" s="597"/>
      <c r="M30" s="597"/>
      <c r="N30" s="597"/>
      <c r="O30" s="597"/>
      <c r="P30" s="597"/>
      <c r="Q30" s="597"/>
      <c r="R30" s="597"/>
    </row>
    <row r="31" spans="1:18" ht="13.5" customHeight="1">
      <c r="A31" s="645"/>
      <c r="B31" s="1635"/>
      <c r="C31" s="1636"/>
      <c r="D31" s="1636"/>
      <c r="E31" s="1636"/>
      <c r="F31" s="1636"/>
      <c r="G31" s="1636"/>
      <c r="H31" s="1636"/>
      <c r="I31" s="1637"/>
      <c r="J31" s="645"/>
      <c r="K31" s="597"/>
      <c r="L31" s="597"/>
      <c r="M31" s="597"/>
      <c r="N31" s="597"/>
      <c r="O31" s="597"/>
      <c r="P31" s="597"/>
      <c r="Q31" s="597"/>
      <c r="R31" s="597"/>
    </row>
    <row r="32" spans="1:18" ht="13.5" customHeight="1">
      <c r="A32" s="645"/>
      <c r="B32" s="1638"/>
      <c r="C32" s="1639"/>
      <c r="D32" s="1639"/>
      <c r="E32" s="1639"/>
      <c r="F32" s="1639"/>
      <c r="G32" s="1639"/>
      <c r="H32" s="1639"/>
      <c r="I32" s="1640"/>
      <c r="J32" s="645"/>
      <c r="K32" s="597"/>
      <c r="L32" s="597"/>
      <c r="M32" s="597"/>
      <c r="N32" s="597"/>
      <c r="O32" s="597"/>
      <c r="P32" s="597"/>
      <c r="Q32" s="597"/>
      <c r="R32" s="597"/>
    </row>
    <row r="33" spans="1:18" ht="13.5" customHeight="1">
      <c r="A33" s="645"/>
      <c r="B33" s="645"/>
      <c r="C33" s="645"/>
      <c r="D33" s="645"/>
      <c r="E33" s="645"/>
      <c r="F33" s="645"/>
      <c r="G33" s="645"/>
      <c r="H33" s="645"/>
      <c r="I33" s="645"/>
      <c r="J33" s="645"/>
      <c r="K33" s="597"/>
      <c r="L33" s="597"/>
      <c r="M33" s="597"/>
      <c r="N33" s="597"/>
      <c r="O33" s="597"/>
      <c r="P33" s="597"/>
      <c r="Q33" s="597"/>
      <c r="R33" s="597"/>
    </row>
    <row r="34" spans="1:18" ht="13.5" customHeight="1">
      <c r="A34" s="645"/>
      <c r="B34" s="908" t="s">
        <v>1885</v>
      </c>
      <c r="C34" s="645"/>
      <c r="D34" s="645"/>
      <c r="E34" s="645"/>
      <c r="F34" s="645"/>
      <c r="G34" s="645"/>
      <c r="H34" s="645"/>
      <c r="I34" s="645"/>
      <c r="J34" s="645"/>
      <c r="K34" s="597"/>
      <c r="L34" s="597"/>
      <c r="M34" s="597"/>
      <c r="N34" s="597"/>
      <c r="O34" s="597"/>
      <c r="P34" s="597"/>
      <c r="Q34" s="597"/>
      <c r="R34" s="597"/>
    </row>
    <row r="35" spans="1:18" ht="13.5" customHeight="1">
      <c r="A35" s="645"/>
      <c r="B35" s="645"/>
      <c r="C35" s="645"/>
      <c r="D35" s="645"/>
      <c r="E35" s="645"/>
      <c r="F35" s="645"/>
      <c r="G35" s="645"/>
      <c r="H35" s="645"/>
      <c r="I35" s="645"/>
      <c r="J35" s="645"/>
      <c r="K35" s="597"/>
      <c r="L35" s="597"/>
      <c r="M35" s="597"/>
      <c r="N35" s="597"/>
      <c r="O35" s="597"/>
      <c r="P35" s="597"/>
      <c r="Q35" s="597"/>
      <c r="R35" s="597"/>
    </row>
    <row r="36" spans="1:18">
      <c r="A36" s="645"/>
      <c r="B36" s="645"/>
      <c r="C36" s="645"/>
      <c r="D36" s="645"/>
      <c r="E36" s="645"/>
      <c r="F36" s="645"/>
      <c r="G36" s="645"/>
      <c r="H36" s="645"/>
      <c r="I36" s="645"/>
      <c r="J36" s="645"/>
      <c r="K36" s="597"/>
      <c r="L36" s="597"/>
      <c r="M36" s="597"/>
      <c r="N36" s="597"/>
      <c r="O36" s="597"/>
      <c r="P36" s="597"/>
      <c r="Q36" s="597"/>
      <c r="R36" s="597"/>
    </row>
    <row r="37" spans="1:18">
      <c r="A37" s="645"/>
      <c r="B37" s="645"/>
      <c r="C37" s="645"/>
      <c r="D37" s="645"/>
      <c r="E37" s="645"/>
      <c r="F37" s="645"/>
      <c r="G37" s="645"/>
      <c r="H37" s="645"/>
      <c r="I37" s="645"/>
      <c r="J37" s="645"/>
      <c r="K37" s="645"/>
      <c r="L37" s="645"/>
      <c r="M37" s="645"/>
      <c r="N37" s="645"/>
      <c r="O37" s="645"/>
      <c r="P37" s="645"/>
      <c r="Q37" s="645"/>
      <c r="R37" s="645"/>
    </row>
    <row r="38" spans="1:18">
      <c r="A38" s="645"/>
      <c r="B38" s="645"/>
      <c r="C38" s="645"/>
      <c r="D38" s="645"/>
      <c r="E38" s="645"/>
      <c r="F38" s="645"/>
      <c r="G38" s="645"/>
      <c r="H38" s="1641"/>
      <c r="I38" s="1641"/>
      <c r="J38" s="645"/>
      <c r="K38" s="645"/>
      <c r="L38" s="645"/>
      <c r="M38" s="645"/>
      <c r="N38" s="645"/>
      <c r="O38" s="645"/>
      <c r="P38" s="645"/>
      <c r="Q38" s="645"/>
      <c r="R38" s="645"/>
    </row>
    <row r="39" spans="1:18">
      <c r="A39" s="645"/>
      <c r="B39" s="645"/>
      <c r="C39" s="645"/>
      <c r="D39" s="645"/>
      <c r="E39" s="645"/>
      <c r="F39" s="645"/>
      <c r="G39" s="645"/>
      <c r="H39" s="645"/>
      <c r="I39" s="645"/>
      <c r="J39" s="645"/>
      <c r="K39" s="645"/>
      <c r="L39" s="645"/>
      <c r="M39" s="645"/>
      <c r="N39" s="645"/>
      <c r="O39" s="645"/>
      <c r="P39" s="645"/>
      <c r="Q39" s="645"/>
      <c r="R39" s="645"/>
    </row>
    <row r="40" spans="1:18" ht="12" hidden="1">
      <c r="A40" s="645"/>
      <c r="B40" s="909" t="s">
        <v>1886</v>
      </c>
      <c r="C40" s="909" t="s">
        <v>1887</v>
      </c>
      <c r="D40" s="645"/>
      <c r="E40" s="645"/>
      <c r="F40" s="645"/>
      <c r="G40" s="645"/>
      <c r="H40" s="645"/>
      <c r="I40" s="645"/>
      <c r="J40" s="645"/>
      <c r="K40" s="645"/>
      <c r="L40" s="645"/>
      <c r="M40" s="645"/>
      <c r="N40" s="659"/>
      <c r="O40" s="645"/>
      <c r="P40" s="645"/>
      <c r="Q40" s="645"/>
      <c r="R40" s="645"/>
    </row>
    <row r="41" spans="1:18" ht="12" hidden="1">
      <c r="A41" s="645"/>
      <c r="B41" s="910">
        <v>1</v>
      </c>
      <c r="C41" s="910">
        <f>IF(IF(ERO_SE=1,1,IF(ERO_S=1,3,IF(ERO_H=1,6,IF(ERO_R=1,9))))=FALSE,"",IF(ERO_SE=1,1,IF(ERO_S=1,3,IF(ERO_H=1,6,IF(ERO_R=1,9)))))</f>
        <v>1</v>
      </c>
      <c r="D41" s="645"/>
      <c r="E41" s="645"/>
      <c r="F41" s="645"/>
      <c r="G41" s="645"/>
      <c r="H41" s="645"/>
      <c r="I41" s="645"/>
      <c r="J41" s="645"/>
      <c r="K41" s="645"/>
      <c r="L41" s="645"/>
      <c r="M41" s="645"/>
      <c r="N41" s="659"/>
      <c r="O41" s="645"/>
      <c r="P41" s="645"/>
      <c r="Q41" s="645"/>
      <c r="R41" s="645"/>
    </row>
    <row r="42" spans="1:18" ht="12" hidden="1">
      <c r="A42" s="645"/>
      <c r="B42" s="910">
        <v>2</v>
      </c>
      <c r="C42" s="910">
        <f>IF(IF(ERO_SE=2,1,IF(ERO_S=2,3,IF(ERO_H=2,6,IF(ERO_R=2,9))))=FALSE,"",IF(ERO_SE=2,1,IF(ERO_S=2,3,IF(ERO_H=2,6,IF(ERO_R=2,9)))))</f>
        <v>6</v>
      </c>
      <c r="D42" s="645"/>
      <c r="E42" s="645"/>
      <c r="F42" s="645"/>
      <c r="G42" s="645"/>
      <c r="H42" s="645"/>
      <c r="I42" s="645"/>
      <c r="J42" s="645"/>
      <c r="K42" s="645"/>
      <c r="L42" s="645"/>
      <c r="M42" s="645"/>
      <c r="N42" s="659"/>
      <c r="O42" s="645"/>
      <c r="P42" s="645"/>
      <c r="Q42" s="645"/>
      <c r="R42" s="645"/>
    </row>
    <row r="43" spans="1:18" ht="12" hidden="1">
      <c r="A43" s="645"/>
      <c r="B43" s="910">
        <v>3</v>
      </c>
      <c r="C43" s="910">
        <f>IF(IF(ERO_SE=3,1,IF(ERO_S=3,3,IF(ERO_H=3,6,IF(ERO_R=3,9))))=FALSE,"",IF(ERO_SE=3,1,IF(ERO_S=3,3,IF(ERO_H=3,6,IF(ERO_R=3,9)))))</f>
        <v>9</v>
      </c>
      <c r="D43" s="645"/>
      <c r="E43" s="645"/>
      <c r="F43" s="645"/>
      <c r="G43" s="645"/>
      <c r="H43" s="645"/>
      <c r="I43" s="645"/>
      <c r="J43" s="645"/>
      <c r="K43" s="645"/>
      <c r="L43" s="645"/>
      <c r="M43" s="645"/>
      <c r="N43" s="659"/>
      <c r="O43" s="645"/>
      <c r="P43" s="645"/>
      <c r="Q43" s="645"/>
      <c r="R43" s="645"/>
    </row>
    <row r="44" spans="1:18" ht="12" hidden="1">
      <c r="A44" s="645"/>
      <c r="B44" s="910">
        <v>4</v>
      </c>
      <c r="C44" s="910" t="str">
        <f>IF(IF(ERO_SE=4,1,IF(ERO_S=4,3,IF(ERO_H=4,6,IF(ERO_R=4,9))))=FALSE,"",IF(ERO_SE=4,1,IF(ERO_S=4,3,IF(ERO_H=4,6,IF(ERO_R=4,9)))))</f>
        <v/>
      </c>
      <c r="D44" s="645"/>
      <c r="E44" s="645"/>
      <c r="F44" s="645"/>
      <c r="G44" s="645"/>
      <c r="H44" s="645"/>
      <c r="I44" s="645"/>
      <c r="J44" s="645"/>
      <c r="K44" s="645"/>
      <c r="L44" s="645"/>
      <c r="M44" s="645"/>
      <c r="N44" s="659"/>
      <c r="O44" s="645"/>
      <c r="P44" s="645"/>
      <c r="Q44" s="645"/>
      <c r="R44" s="645"/>
    </row>
    <row r="45" spans="1:18" ht="12" hidden="1">
      <c r="A45" s="645"/>
      <c r="B45" s="645"/>
      <c r="C45" s="645"/>
      <c r="D45" s="645"/>
      <c r="E45" s="645"/>
      <c r="F45" s="645"/>
      <c r="G45" s="645"/>
      <c r="H45" s="645"/>
      <c r="I45" s="645"/>
      <c r="J45" s="645"/>
      <c r="K45" s="645"/>
      <c r="L45" s="645"/>
      <c r="M45" s="645"/>
      <c r="N45" s="659" t="s">
        <v>1651</v>
      </c>
      <c r="O45" s="645"/>
      <c r="P45" s="645"/>
      <c r="Q45" s="645"/>
      <c r="R45" s="645"/>
    </row>
    <row r="46" spans="1:18" ht="12" hidden="1">
      <c r="A46" s="645"/>
      <c r="B46" s="645"/>
      <c r="C46" s="645"/>
      <c r="D46" s="645"/>
      <c r="E46" s="645"/>
      <c r="F46" s="645"/>
      <c r="G46" s="645"/>
      <c r="H46" s="645"/>
      <c r="I46" s="645"/>
      <c r="J46" s="645"/>
      <c r="K46" s="645"/>
      <c r="L46" s="645"/>
      <c r="M46" s="645"/>
      <c r="N46" s="659"/>
      <c r="O46" s="645"/>
      <c r="P46" s="645"/>
      <c r="Q46" s="645"/>
      <c r="R46" s="645"/>
    </row>
    <row r="47" spans="1:18" ht="12" hidden="1">
      <c r="A47" s="645"/>
      <c r="B47" s="645" t="s">
        <v>1888</v>
      </c>
      <c r="C47" s="645">
        <f>IF(AND(ERO_SE&lt;&gt;"Hide",ERO_SE&lt;&gt;""),1,0)</f>
        <v>1</v>
      </c>
      <c r="D47" s="645"/>
      <c r="E47" s="645">
        <f>IF(AND(ERO_S&lt;&gt;"Hide",ERO_S&lt;&gt;""),1,0)</f>
        <v>0</v>
      </c>
      <c r="F47" s="645"/>
      <c r="G47" s="645"/>
      <c r="H47" s="645">
        <f>IF(AND(ERO_H&lt;&gt;"Hide",ERO_H&lt;&gt;""),1,0)</f>
        <v>1</v>
      </c>
      <c r="I47" s="645"/>
      <c r="J47" s="645"/>
      <c r="K47" s="645">
        <f>IF(AND(ERO_R&lt;&gt;"Hide",ERO_R&lt;&gt;""),1,0)</f>
        <v>1</v>
      </c>
      <c r="L47" s="645"/>
      <c r="M47" s="645"/>
      <c r="N47" s="660">
        <f>SUM(C47,E47, H47,K47)</f>
        <v>3</v>
      </c>
      <c r="O47" s="645"/>
      <c r="P47" s="645"/>
      <c r="Q47" s="645"/>
      <c r="R47" s="645"/>
    </row>
    <row r="48" spans="1:18">
      <c r="A48" s="645"/>
      <c r="B48" s="597"/>
      <c r="C48" s="597"/>
      <c r="D48" s="597"/>
      <c r="E48" s="597"/>
      <c r="F48" s="597"/>
      <c r="G48" s="597"/>
      <c r="H48" s="597"/>
      <c r="I48" s="597"/>
      <c r="J48" s="597"/>
      <c r="K48" s="597"/>
      <c r="L48" s="597"/>
      <c r="M48" s="597"/>
      <c r="N48" s="597"/>
      <c r="O48" s="597"/>
      <c r="P48" s="597"/>
      <c r="Q48" s="645"/>
      <c r="R48" s="645"/>
    </row>
    <row r="49" spans="1:18">
      <c r="A49" s="645"/>
      <c r="B49" s="597"/>
      <c r="C49" s="597"/>
      <c r="D49" s="597"/>
      <c r="E49" s="597"/>
      <c r="F49" s="597"/>
      <c r="G49" s="597"/>
      <c r="H49" s="597"/>
      <c r="I49" s="597"/>
      <c r="J49" s="597"/>
      <c r="K49" s="597"/>
      <c r="L49" s="597"/>
      <c r="M49" s="597"/>
      <c r="N49" s="597"/>
      <c r="O49" s="597"/>
      <c r="P49" s="597"/>
      <c r="Q49" s="645"/>
      <c r="R49" s="645"/>
    </row>
    <row r="50" spans="1:18">
      <c r="A50" s="645"/>
      <c r="B50" s="597"/>
      <c r="C50" s="597"/>
      <c r="D50" s="597"/>
      <c r="E50" s="597"/>
      <c r="F50" s="597"/>
      <c r="G50" s="597"/>
      <c r="H50" s="597"/>
      <c r="I50" s="597"/>
      <c r="J50" s="597"/>
      <c r="K50" s="597"/>
      <c r="L50" s="597"/>
      <c r="M50" s="597"/>
      <c r="N50" s="597"/>
      <c r="O50" s="597"/>
      <c r="P50" s="597"/>
      <c r="Q50" s="645"/>
      <c r="R50" s="645"/>
    </row>
    <row r="51" spans="1:18">
      <c r="A51" s="645"/>
      <c r="B51" s="597"/>
      <c r="C51" s="597"/>
      <c r="D51" s="597"/>
      <c r="E51" s="597"/>
      <c r="F51" s="597"/>
      <c r="G51" s="597"/>
      <c r="H51" s="597"/>
      <c r="I51" s="597"/>
      <c r="J51" s="597"/>
      <c r="K51" s="597"/>
      <c r="L51" s="597"/>
      <c r="M51" s="597"/>
      <c r="N51" s="597"/>
      <c r="O51" s="597"/>
      <c r="P51" s="597"/>
      <c r="Q51" s="645"/>
      <c r="R51" s="645"/>
    </row>
    <row r="52" spans="1:18">
      <c r="A52" s="645"/>
      <c r="B52" s="597"/>
      <c r="C52" s="597"/>
      <c r="D52" s="597"/>
      <c r="E52" s="597"/>
      <c r="F52" s="597"/>
      <c r="G52" s="597"/>
      <c r="H52" s="597"/>
      <c r="I52" s="597"/>
      <c r="J52" s="597"/>
      <c r="K52" s="597"/>
      <c r="L52" s="597"/>
      <c r="M52" s="597"/>
      <c r="N52" s="597"/>
      <c r="O52" s="597"/>
      <c r="P52" s="597"/>
      <c r="Q52" s="645"/>
      <c r="R52" s="645"/>
    </row>
    <row r="53" spans="1:18">
      <c r="A53" s="645"/>
      <c r="B53" s="597"/>
      <c r="C53" s="597"/>
      <c r="D53" s="597"/>
      <c r="E53" s="597"/>
      <c r="F53" s="597"/>
      <c r="G53" s="597"/>
      <c r="H53" s="597"/>
      <c r="I53" s="597"/>
      <c r="J53" s="597"/>
      <c r="K53" s="597"/>
      <c r="L53" s="597"/>
      <c r="M53" s="597"/>
      <c r="N53" s="597"/>
      <c r="O53" s="597"/>
      <c r="P53" s="597"/>
      <c r="Q53" s="645"/>
      <c r="R53" s="645"/>
    </row>
    <row r="54" spans="1:18">
      <c r="A54" s="645"/>
      <c r="B54" s="597"/>
      <c r="C54" s="597"/>
      <c r="D54" s="597"/>
      <c r="E54" s="597"/>
      <c r="F54" s="597"/>
      <c r="G54" s="597"/>
      <c r="H54" s="597"/>
      <c r="I54" s="597"/>
      <c r="J54" s="597"/>
      <c r="K54" s="597"/>
      <c r="L54" s="597"/>
      <c r="M54" s="597"/>
      <c r="N54" s="597"/>
      <c r="O54" s="597"/>
      <c r="P54" s="597"/>
      <c r="Q54" s="645"/>
      <c r="R54" s="645"/>
    </row>
    <row r="55" spans="1:18">
      <c r="A55" s="645"/>
      <c r="B55" s="597"/>
      <c r="C55" s="597"/>
      <c r="D55" s="597"/>
      <c r="E55" s="597"/>
      <c r="F55" s="597"/>
      <c r="G55" s="597"/>
      <c r="H55" s="597"/>
      <c r="I55" s="597"/>
      <c r="J55" s="597"/>
      <c r="K55" s="597"/>
      <c r="L55" s="597"/>
      <c r="M55" s="597"/>
      <c r="N55" s="597"/>
      <c r="O55" s="597"/>
      <c r="P55" s="597"/>
      <c r="Q55" s="645"/>
      <c r="R55" s="645"/>
    </row>
    <row r="56" spans="1:18">
      <c r="A56" s="645"/>
      <c r="B56" s="645"/>
      <c r="C56" s="645"/>
      <c r="D56" s="645"/>
      <c r="E56" s="645"/>
      <c r="F56" s="645"/>
      <c r="G56" s="645"/>
      <c r="H56" s="645"/>
      <c r="I56" s="645"/>
      <c r="J56" s="645"/>
      <c r="K56" s="645"/>
      <c r="L56" s="645"/>
      <c r="M56" s="645"/>
      <c r="N56" s="645"/>
      <c r="O56" s="645"/>
      <c r="P56" s="645"/>
      <c r="Q56" s="645"/>
      <c r="R56" s="645"/>
    </row>
    <row r="57" spans="1:18">
      <c r="A57" s="645"/>
      <c r="B57" s="645"/>
      <c r="C57" s="645"/>
      <c r="D57" s="645"/>
      <c r="E57" s="645"/>
      <c r="F57" s="645"/>
      <c r="G57" s="645"/>
      <c r="H57" s="645"/>
      <c r="I57" s="645"/>
      <c r="J57" s="645"/>
      <c r="K57" s="645"/>
      <c r="L57" s="645"/>
      <c r="M57" s="645"/>
      <c r="N57" s="645"/>
      <c r="O57" s="645"/>
      <c r="P57" s="645"/>
      <c r="Q57" s="645"/>
      <c r="R57" s="645"/>
    </row>
    <row r="58" spans="1:18">
      <c r="A58" s="645"/>
      <c r="B58" s="645"/>
      <c r="C58" s="645"/>
      <c r="D58" s="645"/>
      <c r="E58" s="645"/>
      <c r="F58" s="645"/>
      <c r="G58" s="645"/>
      <c r="H58" s="645"/>
      <c r="I58" s="645"/>
      <c r="J58" s="645"/>
      <c r="K58" s="645"/>
      <c r="L58" s="645"/>
      <c r="M58" s="645"/>
      <c r="N58" s="645"/>
      <c r="O58" s="645"/>
      <c r="P58" s="645"/>
      <c r="Q58" s="645"/>
      <c r="R58" s="645"/>
    </row>
    <row r="59" spans="1:18">
      <c r="A59" s="645"/>
      <c r="B59" s="645"/>
      <c r="C59" s="645"/>
      <c r="D59" s="645"/>
      <c r="E59" s="645"/>
      <c r="F59" s="645"/>
      <c r="G59" s="645"/>
      <c r="H59" s="645"/>
      <c r="I59" s="645"/>
      <c r="J59" s="645"/>
      <c r="K59" s="645"/>
      <c r="L59" s="645"/>
      <c r="M59" s="645"/>
      <c r="N59" s="645"/>
      <c r="O59" s="645"/>
      <c r="P59" s="645"/>
      <c r="Q59" s="645"/>
      <c r="R59" s="645"/>
    </row>
    <row r="60" spans="1:18">
      <c r="A60" s="645"/>
      <c r="B60" s="645"/>
      <c r="C60" s="645"/>
      <c r="D60" s="645"/>
      <c r="E60" s="645"/>
      <c r="F60" s="645"/>
      <c r="G60" s="645"/>
      <c r="H60" s="645"/>
      <c r="I60" s="645"/>
      <c r="J60" s="645"/>
      <c r="K60" s="645"/>
      <c r="L60" s="645"/>
      <c r="M60" s="645"/>
      <c r="N60" s="645"/>
      <c r="O60" s="645"/>
      <c r="P60" s="645"/>
      <c r="Q60" s="645"/>
      <c r="R60" s="645"/>
    </row>
    <row r="61" spans="1:18">
      <c r="A61" s="645"/>
      <c r="B61" s="645"/>
      <c r="C61" s="645"/>
      <c r="D61" s="645"/>
      <c r="E61" s="645"/>
      <c r="F61" s="645"/>
      <c r="G61" s="645"/>
      <c r="H61" s="645"/>
      <c r="I61" s="645"/>
      <c r="J61" s="645"/>
      <c r="K61" s="645"/>
      <c r="L61" s="645"/>
      <c r="M61" s="645"/>
      <c r="N61" s="645"/>
      <c r="O61" s="645"/>
      <c r="P61" s="645"/>
      <c r="Q61" s="645"/>
      <c r="R61" s="645"/>
    </row>
    <row r="62" spans="1:18" ht="13.5">
      <c r="A62" s="645"/>
      <c r="B62" s="590"/>
      <c r="C62" s="590"/>
      <c r="D62" s="590"/>
      <c r="E62" s="590"/>
      <c r="F62" s="590"/>
      <c r="G62" s="590"/>
      <c r="H62" s="590"/>
      <c r="I62" s="590"/>
      <c r="J62" s="590"/>
      <c r="K62" s="590"/>
      <c r="L62" s="590"/>
      <c r="M62" s="590"/>
      <c r="N62" s="645"/>
      <c r="O62" s="645"/>
      <c r="P62" s="645"/>
      <c r="Q62" s="645"/>
      <c r="R62" s="645"/>
    </row>
    <row r="63" spans="1:18" ht="13.5">
      <c r="A63" s="645"/>
      <c r="B63" s="590"/>
      <c r="C63" s="590"/>
      <c r="D63" s="590"/>
      <c r="E63" s="590"/>
      <c r="F63" s="590"/>
      <c r="G63" s="590"/>
      <c r="H63" s="590"/>
      <c r="I63" s="590"/>
      <c r="J63" s="590"/>
      <c r="K63" s="590"/>
      <c r="L63" s="590"/>
      <c r="M63" s="590"/>
      <c r="N63" s="645"/>
      <c r="O63" s="645"/>
      <c r="P63" s="645"/>
      <c r="Q63" s="645"/>
      <c r="R63" s="645"/>
    </row>
    <row r="64" spans="1:18" ht="13.5">
      <c r="A64" s="645"/>
      <c r="B64" s="590"/>
      <c r="C64" s="590"/>
      <c r="D64" s="590"/>
      <c r="E64" s="590"/>
      <c r="F64" s="590"/>
      <c r="G64" s="590"/>
      <c r="H64" s="590"/>
      <c r="I64" s="590"/>
      <c r="J64" s="590"/>
      <c r="K64" s="590"/>
      <c r="L64" s="590"/>
      <c r="M64" s="590"/>
      <c r="N64" s="645"/>
      <c r="O64" s="645"/>
      <c r="P64" s="645"/>
      <c r="Q64" s="645"/>
      <c r="R64" s="645"/>
    </row>
    <row r="65" spans="1:18" ht="13.5">
      <c r="A65" s="645"/>
      <c r="B65" s="590"/>
      <c r="C65" s="590"/>
      <c r="D65" s="590"/>
      <c r="E65" s="590"/>
      <c r="F65" s="590"/>
      <c r="G65" s="590"/>
      <c r="H65" s="590"/>
      <c r="I65" s="590"/>
      <c r="J65" s="590"/>
      <c r="K65" s="590"/>
      <c r="L65" s="590"/>
      <c r="M65" s="590"/>
      <c r="N65" s="645"/>
      <c r="O65" s="645"/>
      <c r="P65" s="645"/>
      <c r="Q65" s="645"/>
      <c r="R65" s="645"/>
    </row>
    <row r="66" spans="1:18" ht="13.5">
      <c r="A66" s="645"/>
      <c r="B66" s="590"/>
      <c r="C66" s="590"/>
      <c r="D66" s="590"/>
      <c r="E66" s="590"/>
      <c r="F66" s="590"/>
      <c r="G66" s="590"/>
      <c r="H66" s="590"/>
      <c r="I66" s="590"/>
      <c r="J66" s="590"/>
      <c r="K66" s="590"/>
      <c r="L66" s="590"/>
      <c r="M66" s="590"/>
      <c r="N66" s="645"/>
      <c r="O66" s="645"/>
      <c r="P66" s="645"/>
      <c r="Q66" s="645"/>
      <c r="R66" s="645"/>
    </row>
    <row r="67" spans="1:18" ht="13.5">
      <c r="A67" s="645"/>
      <c r="B67" s="590"/>
      <c r="C67" s="590"/>
      <c r="D67" s="590"/>
      <c r="E67" s="590"/>
      <c r="F67" s="590"/>
      <c r="G67" s="590"/>
      <c r="H67" s="590"/>
      <c r="I67" s="590"/>
      <c r="J67" s="590"/>
      <c r="K67" s="590"/>
      <c r="L67" s="590"/>
      <c r="M67" s="590"/>
      <c r="N67" s="645"/>
      <c r="O67" s="645"/>
      <c r="P67" s="645"/>
      <c r="Q67" s="645"/>
      <c r="R67" s="645"/>
    </row>
    <row r="68" spans="1:18" ht="13.5">
      <c r="A68" s="645"/>
      <c r="B68" s="590"/>
      <c r="C68" s="590"/>
      <c r="D68" s="590"/>
      <c r="E68" s="590"/>
      <c r="F68" s="590"/>
      <c r="G68" s="590"/>
      <c r="H68" s="590"/>
      <c r="I68" s="590"/>
      <c r="J68" s="590"/>
      <c r="K68" s="590"/>
      <c r="L68" s="590"/>
      <c r="M68" s="590"/>
      <c r="N68" s="645"/>
      <c r="O68" s="645"/>
      <c r="P68" s="645"/>
      <c r="Q68" s="645"/>
      <c r="R68" s="645"/>
    </row>
    <row r="69" spans="1:18" ht="13.5">
      <c r="A69" s="645"/>
      <c r="B69" s="590"/>
      <c r="C69" s="590"/>
      <c r="D69" s="590"/>
      <c r="E69" s="590"/>
      <c r="F69" s="590"/>
      <c r="G69" s="590"/>
      <c r="H69" s="590"/>
      <c r="I69" s="590"/>
      <c r="J69" s="590"/>
      <c r="K69" s="590"/>
      <c r="L69" s="590"/>
      <c r="M69" s="590"/>
      <c r="N69" s="645"/>
      <c r="O69" s="645"/>
      <c r="P69" s="645"/>
      <c r="Q69" s="645"/>
      <c r="R69" s="645"/>
    </row>
    <row r="70" spans="1:18" ht="13.5">
      <c r="A70" s="645"/>
      <c r="B70" s="590"/>
      <c r="C70" s="590"/>
      <c r="D70" s="590"/>
      <c r="E70" s="590"/>
      <c r="F70" s="590"/>
      <c r="G70" s="590"/>
      <c r="H70" s="590"/>
      <c r="I70" s="590"/>
      <c r="J70" s="590"/>
      <c r="K70" s="590"/>
      <c r="L70" s="590"/>
      <c r="M70" s="590"/>
      <c r="N70" s="645"/>
      <c r="O70" s="645"/>
      <c r="P70" s="645"/>
      <c r="Q70" s="645"/>
      <c r="R70" s="645"/>
    </row>
    <row r="71" spans="1:18" ht="13.5">
      <c r="A71" s="645"/>
      <c r="B71" s="590"/>
      <c r="C71" s="590"/>
      <c r="D71" s="590"/>
      <c r="E71" s="590"/>
      <c r="F71" s="590"/>
      <c r="G71" s="590"/>
      <c r="H71" s="590"/>
      <c r="I71" s="590"/>
      <c r="J71" s="590"/>
      <c r="K71" s="590"/>
      <c r="L71" s="590"/>
      <c r="M71" s="590"/>
      <c r="N71" s="645"/>
      <c r="O71" s="645"/>
      <c r="P71" s="645"/>
      <c r="Q71" s="645"/>
      <c r="R71" s="645"/>
    </row>
    <row r="72" spans="1:18" ht="13.5">
      <c r="A72" s="645"/>
      <c r="B72" s="590"/>
      <c r="C72" s="590"/>
      <c r="D72" s="590"/>
      <c r="E72" s="590"/>
      <c r="F72" s="590"/>
      <c r="G72" s="590"/>
      <c r="H72" s="590"/>
      <c r="I72" s="590"/>
      <c r="J72" s="590"/>
      <c r="K72" s="590"/>
      <c r="L72" s="590"/>
      <c r="M72" s="590"/>
      <c r="N72" s="645"/>
      <c r="O72" s="645"/>
      <c r="P72" s="645"/>
      <c r="Q72" s="645"/>
      <c r="R72" s="645"/>
    </row>
    <row r="73" spans="1:18" ht="13.5">
      <c r="A73" s="645"/>
      <c r="B73" s="590"/>
      <c r="C73" s="590"/>
      <c r="D73" s="590"/>
      <c r="E73" s="590"/>
      <c r="F73" s="590"/>
      <c r="G73" s="590"/>
      <c r="H73" s="590"/>
      <c r="I73" s="590"/>
      <c r="J73" s="590"/>
      <c r="K73" s="590"/>
      <c r="L73" s="590"/>
      <c r="M73" s="590"/>
      <c r="N73" s="645"/>
      <c r="O73" s="645"/>
      <c r="P73" s="645"/>
      <c r="Q73" s="645"/>
      <c r="R73" s="645"/>
    </row>
    <row r="74" spans="1:18" ht="13.5">
      <c r="A74" s="645"/>
      <c r="B74" s="590"/>
      <c r="C74" s="590"/>
      <c r="D74" s="590"/>
      <c r="E74" s="590"/>
      <c r="F74" s="590"/>
      <c r="G74" s="590"/>
      <c r="H74" s="590"/>
      <c r="I74" s="590"/>
      <c r="J74" s="590"/>
      <c r="K74" s="590"/>
      <c r="L74" s="590"/>
      <c r="M74" s="590"/>
      <c r="N74" s="645"/>
      <c r="O74" s="645"/>
      <c r="P74" s="645"/>
      <c r="Q74" s="645"/>
      <c r="R74" s="645"/>
    </row>
    <row r="75" spans="1:18" ht="13.5">
      <c r="A75" s="645"/>
      <c r="B75" s="590"/>
      <c r="C75" s="590"/>
      <c r="D75" s="590"/>
      <c r="E75" s="590"/>
      <c r="F75" s="590"/>
      <c r="G75" s="590"/>
      <c r="H75" s="590"/>
      <c r="I75" s="590"/>
      <c r="J75" s="590"/>
      <c r="K75" s="590"/>
      <c r="L75" s="590"/>
      <c r="M75" s="590"/>
      <c r="N75" s="645"/>
      <c r="O75" s="645"/>
      <c r="P75" s="645"/>
      <c r="Q75" s="645"/>
      <c r="R75" s="645"/>
    </row>
    <row r="76" spans="1:18">
      <c r="A76" s="645"/>
      <c r="B76" s="645"/>
      <c r="C76" s="645"/>
      <c r="D76" s="645"/>
      <c r="E76" s="645"/>
      <c r="F76" s="645"/>
      <c r="G76" s="645"/>
      <c r="H76" s="645"/>
      <c r="I76" s="645"/>
      <c r="J76" s="645"/>
      <c r="K76" s="645"/>
      <c r="L76" s="645"/>
      <c r="M76" s="645"/>
      <c r="N76" s="645"/>
      <c r="O76" s="645"/>
      <c r="P76" s="645"/>
      <c r="Q76" s="645"/>
      <c r="R76" s="645"/>
    </row>
    <row r="77" spans="1:18">
      <c r="A77" s="645"/>
      <c r="B77" s="645"/>
      <c r="C77" s="645"/>
      <c r="D77" s="645"/>
      <c r="E77" s="645"/>
      <c r="F77" s="645"/>
      <c r="G77" s="645"/>
      <c r="H77" s="645"/>
      <c r="I77" s="645"/>
      <c r="J77" s="645"/>
      <c r="K77" s="645"/>
      <c r="L77" s="645"/>
      <c r="M77" s="645"/>
      <c r="N77" s="645"/>
      <c r="O77" s="645"/>
      <c r="P77" s="645"/>
      <c r="Q77" s="645"/>
      <c r="R77" s="645"/>
    </row>
    <row r="78" spans="1:18">
      <c r="A78" s="645"/>
      <c r="B78" s="645"/>
      <c r="C78" s="645"/>
      <c r="D78" s="645"/>
      <c r="E78" s="645"/>
      <c r="F78" s="645"/>
      <c r="G78" s="645"/>
      <c r="H78" s="645"/>
      <c r="I78" s="645"/>
      <c r="J78" s="645"/>
      <c r="K78" s="645"/>
      <c r="L78" s="645"/>
      <c r="M78" s="645"/>
      <c r="N78" s="645"/>
      <c r="O78" s="645"/>
      <c r="P78" s="645"/>
      <c r="Q78" s="645"/>
      <c r="R78" s="645"/>
    </row>
    <row r="79" spans="1:18">
      <c r="A79" s="645"/>
      <c r="B79" s="645"/>
      <c r="C79" s="645"/>
      <c r="D79" s="645"/>
      <c r="E79" s="645"/>
      <c r="F79" s="645"/>
      <c r="G79" s="645"/>
      <c r="H79" s="645"/>
      <c r="I79" s="645"/>
      <c r="J79" s="645"/>
      <c r="K79" s="645"/>
      <c r="L79" s="645"/>
      <c r="M79" s="645"/>
      <c r="N79" s="645"/>
      <c r="O79" s="645"/>
      <c r="P79" s="645"/>
      <c r="Q79" s="645"/>
      <c r="R79" s="645"/>
    </row>
    <row r="80" spans="1:18">
      <c r="A80" s="645"/>
      <c r="B80" s="645"/>
      <c r="C80" s="645"/>
      <c r="D80" s="645"/>
      <c r="E80" s="645"/>
      <c r="F80" s="645"/>
      <c r="G80" s="645"/>
      <c r="H80" s="645"/>
      <c r="I80" s="645"/>
      <c r="J80" s="645"/>
      <c r="K80" s="645"/>
      <c r="L80" s="645"/>
      <c r="M80" s="645"/>
      <c r="N80" s="645"/>
      <c r="O80" s="645"/>
      <c r="P80" s="645"/>
      <c r="Q80" s="645"/>
      <c r="R80" s="645"/>
    </row>
    <row r="81" spans="1:18">
      <c r="A81" s="645"/>
      <c r="B81" s="645"/>
      <c r="C81" s="645"/>
      <c r="D81" s="645"/>
      <c r="E81" s="645"/>
      <c r="F81" s="645"/>
      <c r="G81" s="645"/>
      <c r="H81" s="645"/>
      <c r="I81" s="645"/>
      <c r="J81" s="645"/>
      <c r="K81" s="645"/>
      <c r="L81" s="645"/>
      <c r="M81" s="645"/>
      <c r="N81" s="645"/>
      <c r="O81" s="645"/>
      <c r="P81" s="645"/>
      <c r="Q81" s="645"/>
      <c r="R81" s="645"/>
    </row>
  </sheetData>
  <mergeCells count="5">
    <mergeCell ref="B12:C12"/>
    <mergeCell ref="B29:I32"/>
    <mergeCell ref="H38:I38"/>
    <mergeCell ref="E12:F12"/>
    <mergeCell ref="H12:I12"/>
  </mergeCells>
  <dataValidations count="3">
    <dataValidation type="list" allowBlank="1" showInputMessage="1" showErrorMessage="1" sqref="I2" xr:uid="{00000000-0002-0000-1900-000000000000}">
      <formula1>ddl_OpColumns</formula1>
    </dataValidation>
    <dataValidation allowBlank="1" showInputMessage="1" showErrorMessage="1" promptTitle="Equity Returns Options" prompt="You may select up to 3 of the following 4 return options from the drop-downs below. Once you have made your selection, click the Generate Options button._x000a_Please note, if you have already selected 3, you will have to select Hide for one, to select another." sqref="E5" xr:uid="{00000000-0002-0000-1900-000001000000}"/>
    <dataValidation allowBlank="1" showErrorMessage="1" sqref="F5" xr:uid="{00000000-0002-0000-1900-000002000000}"/>
  </dataValidations>
  <printOptions horizontalCentered="1"/>
  <pageMargins left="0" right="0" top="1.75" bottom="0.5" header="0" footer="0"/>
  <pageSetup fitToHeight="0" orientation="landscape" cellComments="atEnd" r:id="rId1"/>
  <customProperties>
    <customPr name="GUID" r:id="rId2"/>
  </customProperties>
  <drawing r:id="rId3"/>
  <legacyDrawing r:id="rId4"/>
  <extLst>
    <ext xmlns:x14="http://schemas.microsoft.com/office/spreadsheetml/2009/9/main" uri="{78C0D931-6437-407d-A8EE-F0AAD7539E65}">
      <x14:conditionalFormattings>
        <x14:conditionalFormatting xmlns:xm="http://schemas.microsoft.com/office/excel/2006/main">
          <x14:cfRule type="expression" priority="75" id="{00000000-000E-0000-1900-000002000000}">
            <xm:f>'Operating Statement'!$AB$8:$AB$9="Yes"</xm:f>
            <x14:dxf>
              <fill>
                <patternFill patternType="solid">
                  <bgColor theme="2"/>
                </patternFill>
              </fill>
            </x14:dxf>
          </x14:cfRule>
          <xm:sqref>C7 F6:F9 B29</xm:sqref>
        </x14:conditionalFormatting>
        <x14:conditionalFormatting xmlns:xm="http://schemas.microsoft.com/office/excel/2006/main">
          <x14:cfRule type="expression" priority="2" id="{42B9A687-54E0-4B44-8E6B-B060E729C9B1}">
            <xm:f>'Operating Statement'!$AB$8 = "Yes"</xm:f>
            <x14:dxf>
              <fill>
                <patternFill>
                  <fgColor indexed="64"/>
                  <bgColor rgb="FFFFFFFF"/>
                </patternFill>
              </fill>
            </x14:dxf>
          </x14:cfRule>
          <xm:sqref>C14:C15 C21:C23 F14:F15 I17 I21:I23</xm:sqref>
        </x14:conditionalFormatting>
        <x14:conditionalFormatting xmlns:xm="http://schemas.microsoft.com/office/excel/2006/main">
          <x14:cfRule type="expression" priority="1" id="{648A80AA-0E2A-4118-B1A2-C55B1C9A33B1}">
            <xm:f>'Operating Statement'!$AB$8 = "Yes"</xm:f>
            <x14:dxf>
              <fill>
                <patternFill>
                  <fgColor indexed="64"/>
                  <bgColor rgb="FFE7E6E6"/>
                </patternFill>
              </fill>
            </x14:dxf>
          </x14:cfRule>
          <xm:sqref>C13 C16 C24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900-000003000000}">
          <x14:formula1>
            <xm:f>IF($N$9&lt;&gt;1,FALSE,DDL!$A$34:$A$37)</xm:f>
          </x14:formula1>
          <xm:sqref>F9</xm:sqref>
        </x14:dataValidation>
        <x14:dataValidation type="list" allowBlank="1" showInputMessage="1" showErrorMessage="1" xr:uid="{00000000-0002-0000-1900-000004000000}">
          <x14:formula1>
            <xm:f>IF($N$6&lt;&gt;1,FALSE,DDL!$A$34:$A$37)</xm:f>
          </x14:formula1>
          <xm:sqref>F6</xm:sqref>
        </x14:dataValidation>
        <x14:dataValidation type="list" allowBlank="1" showInputMessage="1" showErrorMessage="1" xr:uid="{00000000-0002-0000-1900-000005000000}">
          <x14:formula1>
            <xm:f>IF($N$7&lt;&gt;1,FALSE,DDL!$A$34:$A$37)</xm:f>
          </x14:formula1>
          <xm:sqref>F7</xm:sqref>
        </x14:dataValidation>
        <x14:dataValidation type="list" allowBlank="1" showInputMessage="1" showErrorMessage="1" xr:uid="{00000000-0002-0000-1900-000006000000}">
          <x14:formula1>
            <xm:f>IF($N$8&lt;&gt;1,FALSE,DDL!$A$34:$A$37)</xm:f>
          </x14:formula1>
          <xm:sqref>F8</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theme="8" tint="0.249977111117893"/>
    <pageSetUpPr fitToPage="1"/>
  </sheetPr>
  <dimension ref="B1:AP77"/>
  <sheetViews>
    <sheetView showGridLines="0" view="pageBreakPreview" zoomScale="130" zoomScaleNormal="70" zoomScaleSheetLayoutView="130" zoomScalePageLayoutView="110" workbookViewId="0">
      <selection activeCell="N25" sqref="N25"/>
    </sheetView>
  </sheetViews>
  <sheetFormatPr defaultColWidth="9.140625" defaultRowHeight="9"/>
  <cols>
    <col min="1" max="13" width="9" style="20" customWidth="1"/>
    <col min="14" max="14" width="9" style="25" customWidth="1"/>
    <col min="15" max="18" width="9" style="84" customWidth="1"/>
    <col min="19" max="21" width="9" style="20" customWidth="1"/>
    <col min="22" max="16384" width="9.140625" style="20"/>
  </cols>
  <sheetData>
    <row r="1" spans="2:42" s="21" customFormat="1" ht="20.25" customHeight="1">
      <c r="B1" s="589"/>
      <c r="C1" s="688" t="s">
        <v>1889</v>
      </c>
      <c r="D1" s="589"/>
      <c r="E1" s="589"/>
      <c r="F1" s="589"/>
      <c r="G1" s="589"/>
      <c r="H1" s="641"/>
      <c r="I1" s="641"/>
      <c r="J1" s="641"/>
      <c r="K1" s="641"/>
      <c r="L1" s="641"/>
      <c r="M1" s="589"/>
      <c r="N1" s="597"/>
      <c r="O1" s="593"/>
      <c r="P1" s="593"/>
      <c r="Q1" s="593"/>
      <c r="R1" s="593"/>
      <c r="S1" s="645"/>
      <c r="T1" s="589"/>
      <c r="U1" s="589"/>
      <c r="V1" s="589"/>
      <c r="W1" s="589"/>
      <c r="X1" s="589"/>
      <c r="Y1" s="589"/>
      <c r="Z1" s="589"/>
    </row>
    <row r="2" spans="2:42" s="21" customFormat="1" ht="20.25" customHeight="1">
      <c r="B2" s="589"/>
      <c r="C2" s="589"/>
      <c r="D2" s="589"/>
      <c r="E2" s="589"/>
      <c r="F2" s="644"/>
      <c r="G2" s="645"/>
      <c r="H2" s="645"/>
      <c r="I2" s="645"/>
      <c r="J2" s="645"/>
      <c r="K2" s="645"/>
      <c r="L2" s="645"/>
      <c r="M2" s="589"/>
      <c r="N2" s="597"/>
      <c r="O2" s="593"/>
      <c r="P2" s="593"/>
      <c r="Q2" s="593"/>
      <c r="R2" s="593"/>
      <c r="S2" s="597"/>
      <c r="T2" s="597"/>
      <c r="U2" s="597"/>
      <c r="V2" s="597"/>
      <c r="W2" s="597"/>
      <c r="X2" s="597"/>
      <c r="Y2" s="597"/>
      <c r="Z2" s="597"/>
      <c r="AA2" s="25"/>
      <c r="AB2" s="25"/>
      <c r="AC2" s="25"/>
    </row>
    <row r="3" spans="2:42" ht="20.25" customHeight="1">
      <c r="B3" s="645"/>
      <c r="C3" s="645"/>
      <c r="D3" s="645"/>
      <c r="E3" s="645"/>
      <c r="F3" s="645"/>
      <c r="G3" s="597"/>
      <c r="H3" s="597"/>
      <c r="I3" s="597"/>
      <c r="J3" s="597"/>
      <c r="K3" s="597"/>
      <c r="L3" s="597"/>
      <c r="M3" s="597"/>
      <c r="N3" s="597"/>
      <c r="O3" s="593"/>
      <c r="P3" s="593"/>
      <c r="Q3" s="593"/>
      <c r="R3" s="593"/>
      <c r="S3" s="597"/>
      <c r="T3" s="597"/>
      <c r="U3" s="597"/>
      <c r="V3" s="597"/>
      <c r="W3" s="597"/>
      <c r="X3" s="597"/>
      <c r="Y3" s="597"/>
      <c r="Z3" s="597"/>
      <c r="AA3" s="25"/>
      <c r="AB3" s="25"/>
      <c r="AC3" s="25"/>
      <c r="AD3" s="25"/>
      <c r="AE3" s="25"/>
      <c r="AF3" s="25"/>
      <c r="AG3" s="25"/>
      <c r="AH3" s="25"/>
      <c r="AI3" s="25"/>
      <c r="AJ3" s="25"/>
      <c r="AK3" s="25"/>
      <c r="AL3" s="25"/>
      <c r="AM3" s="25"/>
      <c r="AN3" s="25"/>
      <c r="AO3" s="25"/>
      <c r="AP3" s="25"/>
    </row>
    <row r="4" spans="2:42" ht="20.25" customHeight="1">
      <c r="B4" s="645"/>
      <c r="C4" s="655"/>
      <c r="D4" s="655"/>
      <c r="E4" s="655"/>
      <c r="F4" s="655"/>
      <c r="G4" s="656"/>
      <c r="H4" s="656"/>
      <c r="I4" s="656"/>
      <c r="J4" s="656"/>
      <c r="K4" s="661"/>
      <c r="L4" s="656"/>
      <c r="M4" s="597"/>
      <c r="N4" s="597"/>
      <c r="O4" s="593"/>
      <c r="P4" s="593"/>
      <c r="Q4" s="593"/>
      <c r="R4" s="593"/>
      <c r="S4" s="593"/>
      <c r="T4" s="597"/>
      <c r="U4" s="597"/>
      <c r="V4" s="597"/>
      <c r="W4" s="597"/>
      <c r="X4" s="597"/>
      <c r="Y4" s="597"/>
      <c r="Z4" s="597"/>
      <c r="AA4" s="25"/>
      <c r="AB4" s="25"/>
      <c r="AC4" s="25"/>
      <c r="AD4" s="25"/>
      <c r="AE4" s="25"/>
      <c r="AF4" s="25"/>
      <c r="AG4" s="25"/>
      <c r="AH4" s="25"/>
      <c r="AI4" s="25"/>
      <c r="AJ4" s="25"/>
      <c r="AK4" s="25"/>
      <c r="AL4" s="25"/>
      <c r="AM4" s="25"/>
      <c r="AN4" s="25"/>
      <c r="AO4" s="25"/>
      <c r="AP4" s="25"/>
    </row>
    <row r="5" spans="2:42" ht="20.25" customHeight="1">
      <c r="B5" s="645"/>
      <c r="C5" s="652"/>
      <c r="D5" s="662"/>
      <c r="E5" s="655"/>
      <c r="F5" s="655"/>
      <c r="G5" s="656"/>
      <c r="H5" s="656"/>
      <c r="I5" s="656"/>
      <c r="J5" s="656"/>
      <c r="K5" s="661"/>
      <c r="L5" s="656"/>
      <c r="M5" s="597"/>
      <c r="N5" s="597"/>
      <c r="O5" s="593"/>
      <c r="P5" s="593"/>
      <c r="Q5" s="593"/>
      <c r="R5" s="593"/>
      <c r="S5" s="593"/>
      <c r="T5" s="597"/>
      <c r="U5" s="597"/>
      <c r="V5" s="597"/>
      <c r="W5" s="597"/>
      <c r="X5" s="597"/>
      <c r="Y5" s="597"/>
      <c r="Z5" s="597"/>
      <c r="AA5" s="25"/>
      <c r="AB5" s="25"/>
      <c r="AC5" s="25"/>
      <c r="AD5" s="25"/>
      <c r="AE5" s="25"/>
      <c r="AF5" s="25"/>
      <c r="AG5" s="25"/>
      <c r="AH5" s="25"/>
      <c r="AI5" s="25"/>
      <c r="AJ5" s="25"/>
      <c r="AK5" s="25"/>
      <c r="AL5" s="25"/>
      <c r="AM5" s="25"/>
      <c r="AN5" s="25"/>
      <c r="AO5" s="25"/>
      <c r="AP5" s="25"/>
    </row>
    <row r="6" spans="2:42" s="22" customFormat="1" ht="20.25" customHeight="1">
      <c r="B6" s="652"/>
      <c r="C6" s="652"/>
      <c r="D6" s="662"/>
      <c r="E6" s="655"/>
      <c r="F6" s="655"/>
      <c r="G6" s="656"/>
      <c r="H6" s="656"/>
      <c r="I6" s="656"/>
      <c r="J6" s="656"/>
      <c r="K6" s="661"/>
      <c r="L6" s="656"/>
      <c r="M6" s="656"/>
      <c r="N6" s="656"/>
      <c r="O6" s="657">
        <f ca="1">MATCH(O7,'Equity Returns Options'!$M$12:$S$12,0)</f>
        <v>1</v>
      </c>
      <c r="P6" s="657">
        <f ca="1">MATCH(P7,'Equity Returns Options'!$M$12:$S$12,0)</f>
        <v>4</v>
      </c>
      <c r="Q6" s="657">
        <f ca="1">MATCH(Q7,'Equity Returns Options'!$M$12:$S$12,0)</f>
        <v>7</v>
      </c>
      <c r="R6" s="657"/>
      <c r="S6" s="656"/>
      <c r="T6" s="656"/>
      <c r="U6" s="656"/>
      <c r="V6" s="656"/>
      <c r="W6" s="656"/>
      <c r="X6" s="656"/>
      <c r="Y6" s="656"/>
      <c r="Z6" s="656"/>
      <c r="AA6" s="256"/>
      <c r="AB6" s="256"/>
      <c r="AC6" s="256"/>
      <c r="AD6" s="256"/>
      <c r="AE6" s="256"/>
      <c r="AF6" s="256"/>
      <c r="AG6" s="256"/>
      <c r="AH6" s="256"/>
      <c r="AI6" s="256"/>
      <c r="AJ6" s="256"/>
      <c r="AK6" s="256"/>
      <c r="AL6" s="256"/>
      <c r="AM6" s="256"/>
      <c r="AN6" s="256"/>
      <c r="AO6" s="256"/>
      <c r="AP6" s="256"/>
    </row>
    <row r="7" spans="2:42" s="22" customFormat="1" ht="20.25" customHeight="1">
      <c r="B7" s="652"/>
      <c r="C7" s="652"/>
      <c r="D7" s="662"/>
      <c r="E7" s="655"/>
      <c r="F7" s="655"/>
      <c r="G7" s="656"/>
      <c r="H7" s="656"/>
      <c r="I7" s="656"/>
      <c r="J7" s="656"/>
      <c r="K7" s="661"/>
      <c r="L7" s="656"/>
      <c r="M7" s="656"/>
      <c r="N7" s="656"/>
      <c r="O7" s="657" t="str">
        <f ca="1">OFFSET('Equity Returns Options'!$E$5,MATCH(1,'Equity Returns Options'!$F$6:$F$9,0),0)</f>
        <v>Sell &amp; Exchange</v>
      </c>
      <c r="P7" s="657" t="str">
        <f ca="1">OFFSET('Equity Returns Options'!$E$5,MATCH(2,'Equity Returns Options'!$F$6:$F$8,0),0)</f>
        <v>Hold</v>
      </c>
      <c r="Q7" s="657" t="str">
        <f ca="1">OFFSET('Equity Returns Options'!$E$5,MATCH(3,'Equity Returns Options'!$F$6:$F$9,0),0)</f>
        <v>Refinance</v>
      </c>
      <c r="R7" s="657"/>
      <c r="S7" s="656"/>
      <c r="T7" s="656"/>
      <c r="U7" s="656"/>
      <c r="V7" s="656"/>
      <c r="W7" s="656"/>
      <c r="X7" s="656"/>
      <c r="Y7" s="656"/>
      <c r="Z7" s="656"/>
      <c r="AA7" s="256"/>
      <c r="AB7" s="256"/>
      <c r="AC7" s="256"/>
      <c r="AD7" s="256"/>
      <c r="AE7" s="256"/>
      <c r="AF7" s="256"/>
      <c r="AG7" s="256"/>
      <c r="AH7" s="256"/>
      <c r="AI7" s="256"/>
      <c r="AJ7" s="256"/>
      <c r="AK7" s="256"/>
      <c r="AL7" s="256"/>
      <c r="AM7" s="256"/>
      <c r="AN7" s="256"/>
      <c r="AO7" s="256"/>
      <c r="AP7" s="256"/>
    </row>
    <row r="8" spans="2:42" s="22" customFormat="1" ht="20.25" customHeight="1">
      <c r="B8" s="652"/>
      <c r="C8" s="652"/>
      <c r="D8" s="662"/>
      <c r="E8" s="655"/>
      <c r="F8" s="655"/>
      <c r="G8" s="656"/>
      <c r="H8" s="656"/>
      <c r="I8" s="656"/>
      <c r="J8" s="656"/>
      <c r="K8" s="661"/>
      <c r="L8" s="656"/>
      <c r="M8" s="656"/>
      <c r="N8" s="656"/>
      <c r="O8" s="663">
        <f ca="1">IF(O7="Sell",NA(),OFFSET('Equity Returns Options'!$B$26,0,'Equity Returns Chart'!O$6))</f>
        <v>0</v>
      </c>
      <c r="P8" s="663">
        <f ca="1">IF(P7="Sell",NA(),OFFSET('Equity Returns Options'!$B$26,0,'Equity Returns Chart'!P$6))</f>
        <v>445836.05599999998</v>
      </c>
      <c r="Q8" s="663">
        <f ca="1">IF(Q7="Sell",NA(),OFFSET('Equity Returns Options'!$B$26,0,'Equity Returns Chart'!Q$6))</f>
        <v>445836.05599999998</v>
      </c>
      <c r="R8" s="663">
        <f ca="1">OFFSET('Equity Returns Options'!$C$26,0,'Equity Returns Chart'!R6)</f>
        <v>0</v>
      </c>
      <c r="S8" s="656"/>
      <c r="T8" s="656"/>
      <c r="U8" s="656"/>
      <c r="V8" s="656"/>
      <c r="W8" s="656"/>
      <c r="X8" s="656"/>
      <c r="Y8" s="656"/>
      <c r="Z8" s="656"/>
      <c r="AA8" s="256"/>
      <c r="AB8" s="256"/>
      <c r="AC8" s="256"/>
      <c r="AD8" s="256"/>
      <c r="AE8" s="256"/>
      <c r="AF8" s="256"/>
      <c r="AG8" s="256"/>
      <c r="AH8" s="256"/>
      <c r="AI8" s="256"/>
      <c r="AJ8" s="256"/>
      <c r="AK8" s="256"/>
      <c r="AL8" s="256"/>
      <c r="AM8" s="256"/>
      <c r="AN8" s="256"/>
      <c r="AO8" s="256"/>
      <c r="AP8" s="256"/>
    </row>
    <row r="9" spans="2:42" s="22" customFormat="1" ht="20.25" customHeight="1">
      <c r="B9" s="652"/>
      <c r="C9" s="655"/>
      <c r="D9" s="655"/>
      <c r="E9" s="655"/>
      <c r="F9" s="655"/>
      <c r="G9" s="656"/>
      <c r="H9" s="656"/>
      <c r="I9" s="656"/>
      <c r="J9" s="656"/>
      <c r="K9" s="661"/>
      <c r="L9" s="656"/>
      <c r="M9" s="656"/>
      <c r="N9" s="656"/>
      <c r="O9" s="657"/>
      <c r="P9" s="657"/>
      <c r="Q9" s="657"/>
      <c r="R9" s="657"/>
      <c r="S9" s="656"/>
      <c r="T9" s="656"/>
      <c r="U9" s="656"/>
      <c r="V9" s="656"/>
      <c r="W9" s="656"/>
      <c r="X9" s="656"/>
      <c r="Y9" s="656"/>
      <c r="Z9" s="656"/>
      <c r="AA9" s="256"/>
      <c r="AB9" s="256"/>
      <c r="AC9" s="256"/>
      <c r="AD9" s="256"/>
      <c r="AE9" s="256"/>
      <c r="AF9" s="256"/>
      <c r="AG9" s="256"/>
      <c r="AH9" s="256"/>
      <c r="AI9" s="256"/>
      <c r="AJ9" s="256"/>
      <c r="AK9" s="256"/>
      <c r="AL9" s="256"/>
      <c r="AM9" s="256"/>
      <c r="AN9" s="256"/>
      <c r="AO9" s="256"/>
      <c r="AP9" s="256"/>
    </row>
    <row r="10" spans="2:42" s="22" customFormat="1" ht="20.25" customHeight="1">
      <c r="B10" s="652"/>
      <c r="C10" s="655"/>
      <c r="D10" s="655"/>
      <c r="E10" s="655"/>
      <c r="F10" s="655"/>
      <c r="G10" s="656"/>
      <c r="H10" s="656"/>
      <c r="I10" s="656"/>
      <c r="J10" s="656"/>
      <c r="K10" s="661"/>
      <c r="L10" s="656"/>
      <c r="M10" s="656"/>
      <c r="N10" s="656"/>
      <c r="O10" s="657" t="str">
        <f ca="1">O7</f>
        <v>Sell &amp; Exchange</v>
      </c>
      <c r="P10" s="657" t="str">
        <f ca="1">P7</f>
        <v>Hold</v>
      </c>
      <c r="Q10" s="657" t="str">
        <f ca="1">Q7</f>
        <v>Refinance</v>
      </c>
      <c r="R10" s="657"/>
      <c r="S10" s="656"/>
      <c r="T10" s="656"/>
      <c r="U10" s="656"/>
      <c r="V10" s="656"/>
      <c r="W10" s="656"/>
      <c r="X10" s="656"/>
      <c r="Y10" s="656"/>
      <c r="Z10" s="656"/>
      <c r="AA10" s="256"/>
      <c r="AB10" s="256"/>
      <c r="AC10" s="256"/>
      <c r="AD10" s="256"/>
      <c r="AE10" s="256"/>
      <c r="AF10" s="256"/>
      <c r="AG10" s="256"/>
      <c r="AH10" s="256"/>
      <c r="AI10" s="256"/>
      <c r="AJ10" s="256"/>
      <c r="AK10" s="256"/>
      <c r="AL10" s="256"/>
      <c r="AM10" s="256"/>
      <c r="AN10" s="256"/>
      <c r="AO10" s="256"/>
      <c r="AP10" s="256"/>
    </row>
    <row r="11" spans="2:42" s="22" customFormat="1" ht="20.25" customHeight="1">
      <c r="B11" s="652"/>
      <c r="C11" s="664"/>
      <c r="D11" s="664"/>
      <c r="E11" s="664"/>
      <c r="F11" s="664"/>
      <c r="G11" s="665"/>
      <c r="H11" s="665"/>
      <c r="I11" s="665"/>
      <c r="J11" s="665"/>
      <c r="K11" s="665"/>
      <c r="L11" s="665"/>
      <c r="M11" s="656"/>
      <c r="N11" s="656"/>
      <c r="O11" s="666">
        <f ca="1">IF(O10="Sell",NA(),OFFSET('Equity Returns Options'!$B$27,0,'Equity Returns Chart'!O$6))</f>
        <v>0</v>
      </c>
      <c r="P11" s="666">
        <f ca="1">IF(P10="Sell",NA(),OFFSET('Equity Returns Options'!$B$27,0,'Equity Returns Chart'!P$6))</f>
        <v>4.7683000641711229E-2</v>
      </c>
      <c r="Q11" s="666">
        <f ca="1">IF(Q10="Sell",NA(),OFFSET('Equity Returns Options'!$B$27,0,'Equity Returns Chart'!Q$6))</f>
        <v>4.7683000641711229E-2</v>
      </c>
      <c r="R11" s="657"/>
      <c r="S11" s="656"/>
      <c r="T11" s="656"/>
      <c r="U11" s="656"/>
      <c r="V11" s="656"/>
      <c r="W11" s="656"/>
      <c r="X11" s="656"/>
      <c r="Y11" s="656"/>
      <c r="Z11" s="656"/>
      <c r="AA11" s="256"/>
      <c r="AB11" s="256"/>
      <c r="AC11" s="256"/>
      <c r="AD11" s="256"/>
      <c r="AE11" s="256"/>
      <c r="AF11" s="256"/>
      <c r="AG11" s="256"/>
      <c r="AH11" s="256"/>
      <c r="AI11" s="256"/>
      <c r="AJ11" s="256"/>
      <c r="AK11" s="256"/>
      <c r="AL11" s="256"/>
      <c r="AM11" s="256"/>
      <c r="AN11" s="256"/>
      <c r="AO11" s="256"/>
      <c r="AP11" s="256"/>
    </row>
    <row r="12" spans="2:42" s="22" customFormat="1" ht="20.25" customHeight="1">
      <c r="B12" s="652"/>
      <c r="C12" s="1642"/>
      <c r="D12" s="1642"/>
      <c r="E12" s="667"/>
      <c r="F12" s="667"/>
      <c r="G12" s="668"/>
      <c r="H12" s="668"/>
      <c r="I12" s="669"/>
      <c r="J12" s="669"/>
      <c r="K12" s="1643"/>
      <c r="L12" s="1643"/>
      <c r="M12" s="656"/>
      <c r="N12" s="656"/>
      <c r="O12" s="657"/>
      <c r="P12" s="670"/>
      <c r="Q12" s="657"/>
      <c r="R12" s="657"/>
      <c r="S12" s="656"/>
      <c r="T12" s="656"/>
      <c r="U12" s="656"/>
      <c r="V12" s="656"/>
      <c r="W12" s="656"/>
      <c r="X12" s="656"/>
      <c r="Y12" s="656"/>
      <c r="Z12" s="656"/>
      <c r="AA12" s="256"/>
      <c r="AB12" s="256"/>
      <c r="AC12" s="256"/>
      <c r="AD12" s="256"/>
      <c r="AE12" s="256"/>
      <c r="AF12" s="256"/>
      <c r="AG12" s="256"/>
      <c r="AH12" s="256"/>
      <c r="AI12" s="256"/>
      <c r="AJ12" s="256"/>
      <c r="AK12" s="256"/>
      <c r="AL12" s="256"/>
      <c r="AM12" s="256"/>
      <c r="AN12" s="256"/>
      <c r="AO12" s="256"/>
      <c r="AP12" s="256"/>
    </row>
    <row r="13" spans="2:42" ht="20.25" customHeight="1">
      <c r="B13" s="645"/>
      <c r="C13" s="652"/>
      <c r="D13" s="671"/>
      <c r="E13" s="667"/>
      <c r="F13" s="667"/>
      <c r="G13" s="656"/>
      <c r="H13" s="672"/>
      <c r="I13" s="669"/>
      <c r="J13" s="669"/>
      <c r="K13" s="656"/>
      <c r="L13" s="672"/>
      <c r="M13" s="597"/>
      <c r="N13" s="597"/>
      <c r="O13" s="593"/>
      <c r="P13" s="670"/>
      <c r="Q13" s="593"/>
      <c r="R13" s="593"/>
      <c r="S13" s="597"/>
      <c r="T13" s="597"/>
      <c r="U13" s="597"/>
      <c r="V13" s="597"/>
      <c r="W13" s="597"/>
      <c r="X13" s="597"/>
      <c r="Y13" s="597"/>
      <c r="Z13" s="597"/>
      <c r="AA13" s="25"/>
      <c r="AB13" s="25"/>
      <c r="AC13" s="25"/>
      <c r="AD13" s="25"/>
      <c r="AE13" s="25"/>
      <c r="AF13" s="25"/>
      <c r="AG13" s="25"/>
      <c r="AH13" s="25"/>
      <c r="AI13" s="25"/>
      <c r="AJ13" s="25"/>
      <c r="AK13" s="25"/>
      <c r="AL13" s="25"/>
      <c r="AM13" s="25"/>
      <c r="AN13" s="25"/>
      <c r="AO13" s="25"/>
      <c r="AP13" s="25"/>
    </row>
    <row r="14" spans="2:42" ht="20.25" customHeight="1">
      <c r="B14" s="645"/>
      <c r="C14" s="652"/>
      <c r="D14" s="671"/>
      <c r="E14" s="667"/>
      <c r="F14" s="667"/>
      <c r="G14" s="656"/>
      <c r="H14" s="672"/>
      <c r="I14" s="669"/>
      <c r="J14" s="669"/>
      <c r="K14" s="656"/>
      <c r="L14" s="672"/>
      <c r="M14" s="597"/>
      <c r="N14" s="597"/>
      <c r="O14" s="593"/>
      <c r="P14" s="670"/>
      <c r="Q14" s="593"/>
      <c r="R14" s="593"/>
      <c r="S14" s="597"/>
      <c r="T14" s="597"/>
      <c r="U14" s="597"/>
      <c r="V14" s="597"/>
      <c r="W14" s="597"/>
      <c r="X14" s="597"/>
      <c r="Y14" s="597"/>
      <c r="Z14" s="597"/>
      <c r="AA14" s="25"/>
      <c r="AB14" s="25"/>
      <c r="AC14" s="25"/>
      <c r="AD14" s="25"/>
      <c r="AE14" s="25"/>
      <c r="AF14" s="25"/>
      <c r="AG14" s="25"/>
      <c r="AH14" s="25"/>
      <c r="AI14" s="25"/>
      <c r="AJ14" s="25"/>
      <c r="AK14" s="25"/>
      <c r="AL14" s="25"/>
      <c r="AM14" s="25"/>
      <c r="AN14" s="25"/>
      <c r="AO14" s="25"/>
      <c r="AP14" s="25"/>
    </row>
    <row r="15" spans="2:42" ht="20.25" customHeight="1">
      <c r="B15" s="645"/>
      <c r="C15" s="652"/>
      <c r="D15" s="671"/>
      <c r="E15" s="667"/>
      <c r="F15" s="667"/>
      <c r="G15" s="656"/>
      <c r="H15" s="672"/>
      <c r="I15" s="669"/>
      <c r="J15" s="669"/>
      <c r="K15" s="656"/>
      <c r="L15" s="672"/>
      <c r="M15" s="597"/>
      <c r="N15" s="597"/>
      <c r="O15" s="593"/>
      <c r="P15" s="670"/>
      <c r="Q15" s="593"/>
      <c r="R15" s="593"/>
      <c r="S15" s="597"/>
      <c r="T15" s="597"/>
      <c r="U15" s="597"/>
      <c r="V15" s="597"/>
      <c r="W15" s="597"/>
      <c r="X15" s="597"/>
      <c r="Y15" s="597"/>
      <c r="Z15" s="597"/>
      <c r="AA15" s="25"/>
      <c r="AB15" s="25"/>
      <c r="AC15" s="25"/>
      <c r="AD15" s="25"/>
      <c r="AE15" s="25"/>
      <c r="AF15" s="25"/>
      <c r="AG15" s="25"/>
      <c r="AH15" s="25"/>
      <c r="AI15" s="25"/>
      <c r="AJ15" s="25"/>
      <c r="AK15" s="25"/>
      <c r="AL15" s="25"/>
      <c r="AM15" s="25"/>
      <c r="AN15" s="25"/>
      <c r="AO15" s="25"/>
      <c r="AP15" s="25"/>
    </row>
    <row r="16" spans="2:42" ht="20.25" customHeight="1">
      <c r="B16" s="645"/>
      <c r="C16" s="652"/>
      <c r="D16" s="671"/>
      <c r="E16" s="667"/>
      <c r="F16" s="667"/>
      <c r="G16" s="656"/>
      <c r="H16" s="672"/>
      <c r="I16" s="669"/>
      <c r="J16" s="669"/>
      <c r="K16" s="656"/>
      <c r="L16" s="672"/>
      <c r="M16" s="597"/>
      <c r="N16" s="597"/>
      <c r="O16" s="593"/>
      <c r="P16" s="670"/>
      <c r="Q16" s="593"/>
      <c r="R16" s="593"/>
      <c r="S16" s="597"/>
      <c r="T16" s="597"/>
      <c r="U16" s="597"/>
      <c r="V16" s="597"/>
      <c r="W16" s="597"/>
      <c r="X16" s="597"/>
      <c r="Y16" s="597"/>
      <c r="Z16" s="597"/>
      <c r="AA16" s="25"/>
      <c r="AB16" s="25"/>
      <c r="AC16" s="25"/>
      <c r="AD16" s="25"/>
      <c r="AE16" s="25"/>
      <c r="AF16" s="25"/>
      <c r="AG16" s="25"/>
      <c r="AH16" s="25"/>
      <c r="AI16" s="25"/>
      <c r="AJ16" s="25"/>
      <c r="AK16" s="25"/>
      <c r="AL16" s="25"/>
      <c r="AM16" s="25"/>
      <c r="AN16" s="25"/>
      <c r="AO16" s="25"/>
      <c r="AP16" s="25"/>
    </row>
    <row r="17" spans="2:42" ht="20.25" customHeight="1">
      <c r="B17" s="645"/>
      <c r="C17" s="652"/>
      <c r="D17" s="671"/>
      <c r="E17" s="667"/>
      <c r="F17" s="667"/>
      <c r="G17" s="656"/>
      <c r="H17" s="672"/>
      <c r="I17" s="669"/>
      <c r="J17" s="669"/>
      <c r="K17" s="656"/>
      <c r="L17" s="672"/>
      <c r="M17" s="597"/>
      <c r="N17" s="597"/>
      <c r="O17" s="593"/>
      <c r="P17" s="670"/>
      <c r="Q17" s="593"/>
      <c r="R17" s="593"/>
      <c r="S17" s="597"/>
      <c r="T17" s="597"/>
      <c r="U17" s="597"/>
      <c r="V17" s="597"/>
      <c r="W17" s="597"/>
      <c r="X17" s="597"/>
      <c r="Y17" s="597"/>
      <c r="Z17" s="597"/>
      <c r="AA17" s="25"/>
      <c r="AB17" s="25"/>
      <c r="AC17" s="25"/>
      <c r="AD17" s="25"/>
      <c r="AE17" s="25"/>
      <c r="AF17" s="25"/>
      <c r="AG17" s="25"/>
      <c r="AH17" s="25"/>
      <c r="AI17" s="25"/>
      <c r="AJ17" s="25"/>
      <c r="AK17" s="25"/>
      <c r="AL17" s="25"/>
      <c r="AM17" s="25"/>
      <c r="AN17" s="25"/>
      <c r="AO17" s="25"/>
      <c r="AP17" s="25"/>
    </row>
    <row r="18" spans="2:42" ht="20.25" customHeight="1">
      <c r="B18" s="645"/>
      <c r="C18" s="652"/>
      <c r="D18" s="671"/>
      <c r="E18" s="667"/>
      <c r="F18" s="667"/>
      <c r="G18" s="656"/>
      <c r="H18" s="672"/>
      <c r="I18" s="669"/>
      <c r="J18" s="669"/>
      <c r="K18" s="656"/>
      <c r="L18" s="672"/>
      <c r="M18" s="597"/>
      <c r="N18" s="597"/>
      <c r="O18" s="593"/>
      <c r="P18" s="670"/>
      <c r="Q18" s="593"/>
      <c r="R18" s="593"/>
      <c r="S18" s="597"/>
      <c r="T18" s="597"/>
      <c r="U18" s="597"/>
      <c r="V18" s="597"/>
      <c r="W18" s="597"/>
      <c r="X18" s="597"/>
      <c r="Y18" s="597"/>
      <c r="Z18" s="597"/>
      <c r="AA18" s="25"/>
      <c r="AB18" s="25"/>
      <c r="AC18" s="25"/>
      <c r="AD18" s="25"/>
      <c r="AE18" s="25"/>
      <c r="AF18" s="25"/>
      <c r="AG18" s="25"/>
      <c r="AH18" s="25"/>
      <c r="AI18" s="25"/>
      <c r="AJ18" s="25"/>
      <c r="AK18" s="25"/>
      <c r="AL18" s="25"/>
      <c r="AM18" s="25"/>
      <c r="AN18" s="25"/>
      <c r="AO18" s="25"/>
      <c r="AP18" s="25"/>
    </row>
    <row r="19" spans="2:42" ht="20.25" customHeight="1">
      <c r="B19" s="645"/>
      <c r="C19" s="652"/>
      <c r="D19" s="671"/>
      <c r="E19" s="667"/>
      <c r="F19" s="667"/>
      <c r="G19" s="656"/>
      <c r="H19" s="672"/>
      <c r="I19" s="669"/>
      <c r="J19" s="669"/>
      <c r="K19" s="656"/>
      <c r="L19" s="672"/>
      <c r="M19" s="597"/>
      <c r="N19" s="597"/>
      <c r="O19" s="593"/>
      <c r="P19" s="670"/>
      <c r="Q19" s="593"/>
      <c r="R19" s="593"/>
      <c r="S19" s="597"/>
      <c r="T19" s="597"/>
      <c r="U19" s="597"/>
      <c r="V19" s="597"/>
      <c r="W19" s="597"/>
      <c r="X19" s="597"/>
      <c r="Y19" s="597"/>
      <c r="Z19" s="597"/>
      <c r="AA19" s="25"/>
      <c r="AB19" s="25"/>
      <c r="AC19" s="25"/>
      <c r="AD19" s="25"/>
      <c r="AE19" s="25"/>
      <c r="AF19" s="25"/>
      <c r="AG19" s="25"/>
      <c r="AH19" s="25"/>
      <c r="AI19" s="25"/>
      <c r="AJ19" s="25"/>
      <c r="AK19" s="25"/>
      <c r="AL19" s="25"/>
      <c r="AM19" s="25"/>
      <c r="AN19" s="25"/>
      <c r="AO19" s="25"/>
      <c r="AP19" s="25"/>
    </row>
    <row r="20" spans="2:42" ht="20.25" customHeight="1">
      <c r="B20" s="645"/>
      <c r="C20" s="652"/>
      <c r="D20" s="671"/>
      <c r="E20" s="673"/>
      <c r="F20" s="673"/>
      <c r="G20" s="656"/>
      <c r="H20" s="672"/>
      <c r="I20" s="674"/>
      <c r="J20" s="674"/>
      <c r="K20" s="656"/>
      <c r="L20" s="675"/>
      <c r="M20" s="597"/>
      <c r="N20" s="597"/>
      <c r="O20" s="593"/>
      <c r="P20" s="670"/>
      <c r="Q20" s="593"/>
      <c r="R20" s="593"/>
      <c r="S20" s="593"/>
      <c r="T20" s="597"/>
      <c r="U20" s="597"/>
      <c r="V20" s="597"/>
      <c r="W20" s="597"/>
      <c r="X20" s="597"/>
      <c r="Y20" s="597"/>
      <c r="Z20" s="597"/>
      <c r="AA20" s="25"/>
      <c r="AB20" s="25"/>
      <c r="AC20" s="25"/>
      <c r="AD20" s="25"/>
      <c r="AE20" s="25"/>
      <c r="AF20" s="25"/>
      <c r="AG20" s="25"/>
      <c r="AH20" s="25"/>
      <c r="AI20" s="25"/>
      <c r="AJ20" s="25"/>
      <c r="AK20" s="25"/>
      <c r="AL20" s="25"/>
      <c r="AM20" s="25"/>
      <c r="AN20" s="25"/>
      <c r="AO20" s="25"/>
      <c r="AP20" s="25"/>
    </row>
    <row r="21" spans="2:42" ht="20.25" customHeight="1">
      <c r="B21" s="645"/>
      <c r="C21" s="652"/>
      <c r="D21" s="676"/>
      <c r="E21" s="677"/>
      <c r="F21" s="677"/>
      <c r="G21" s="656"/>
      <c r="H21" s="678"/>
      <c r="I21" s="679"/>
      <c r="J21" s="679"/>
      <c r="K21" s="656"/>
      <c r="L21" s="678"/>
      <c r="M21" s="597"/>
      <c r="N21" s="597"/>
      <c r="O21" s="593"/>
      <c r="P21" s="670"/>
      <c r="Q21" s="593"/>
      <c r="R21" s="593"/>
      <c r="S21" s="593"/>
      <c r="T21" s="597"/>
      <c r="U21" s="597"/>
      <c r="V21" s="597"/>
      <c r="W21" s="597"/>
      <c r="X21" s="597"/>
      <c r="Y21" s="597"/>
      <c r="Z21" s="597"/>
      <c r="AA21" s="25"/>
      <c r="AB21" s="25"/>
      <c r="AC21" s="25"/>
      <c r="AD21" s="25"/>
      <c r="AE21" s="25"/>
      <c r="AF21" s="25"/>
      <c r="AG21" s="25"/>
      <c r="AH21" s="25"/>
      <c r="AI21" s="25"/>
      <c r="AJ21" s="25"/>
      <c r="AK21" s="25"/>
      <c r="AL21" s="25"/>
      <c r="AM21" s="25"/>
      <c r="AN21" s="25"/>
      <c r="AO21" s="25"/>
      <c r="AP21" s="25"/>
    </row>
    <row r="22" spans="2:42" ht="20.25" customHeight="1">
      <c r="B22" s="645"/>
      <c r="C22" s="652"/>
      <c r="D22" s="652"/>
      <c r="E22" s="652"/>
      <c r="F22" s="652"/>
      <c r="G22" s="652"/>
      <c r="H22" s="652"/>
      <c r="I22" s="652"/>
      <c r="J22" s="652"/>
      <c r="K22" s="656"/>
      <c r="L22" s="656"/>
      <c r="M22" s="597"/>
      <c r="N22" s="597"/>
      <c r="O22" s="593"/>
      <c r="P22" s="670"/>
      <c r="Q22" s="593"/>
      <c r="R22" s="593"/>
      <c r="S22" s="593"/>
      <c r="T22" s="597"/>
      <c r="U22" s="597"/>
      <c r="V22" s="597"/>
      <c r="W22" s="597"/>
      <c r="X22" s="597"/>
      <c r="Y22" s="597"/>
      <c r="Z22" s="597"/>
      <c r="AA22" s="25"/>
      <c r="AB22" s="25"/>
      <c r="AC22" s="25"/>
      <c r="AD22" s="25"/>
      <c r="AE22" s="25"/>
      <c r="AF22" s="25"/>
      <c r="AG22" s="25"/>
      <c r="AH22" s="25"/>
      <c r="AI22" s="25"/>
      <c r="AJ22" s="25"/>
      <c r="AK22" s="25"/>
      <c r="AL22" s="25"/>
      <c r="AM22" s="25"/>
      <c r="AN22" s="25"/>
      <c r="AO22" s="25"/>
      <c r="AP22" s="25"/>
    </row>
    <row r="23" spans="2:42" ht="20.25" customHeight="1">
      <c r="B23" s="645"/>
      <c r="C23" s="652"/>
      <c r="D23" s="652"/>
      <c r="E23" s="652"/>
      <c r="F23" s="652"/>
      <c r="G23" s="652"/>
      <c r="H23" s="652"/>
      <c r="I23" s="652"/>
      <c r="J23" s="652"/>
      <c r="K23" s="656"/>
      <c r="L23" s="656"/>
      <c r="M23" s="597"/>
      <c r="N23" s="597"/>
      <c r="O23" s="593"/>
      <c r="P23" s="670"/>
      <c r="Q23" s="593"/>
      <c r="R23" s="593"/>
      <c r="S23" s="593"/>
      <c r="T23" s="597"/>
      <c r="U23" s="597"/>
      <c r="V23" s="597"/>
      <c r="W23" s="597"/>
      <c r="X23" s="597"/>
      <c r="Y23" s="597"/>
      <c r="Z23" s="597"/>
      <c r="AA23" s="25"/>
      <c r="AB23" s="25"/>
      <c r="AC23" s="25"/>
      <c r="AD23" s="25"/>
      <c r="AE23" s="25"/>
      <c r="AF23" s="25"/>
      <c r="AG23" s="25"/>
      <c r="AH23" s="25"/>
      <c r="AI23" s="25"/>
      <c r="AJ23" s="25"/>
      <c r="AK23" s="25"/>
      <c r="AL23" s="25"/>
      <c r="AM23" s="25"/>
      <c r="AN23" s="25"/>
      <c r="AO23" s="25"/>
      <c r="AP23" s="25"/>
    </row>
    <row r="24" spans="2:42" ht="20.25" customHeight="1">
      <c r="B24" s="645"/>
      <c r="C24" s="652"/>
      <c r="D24" s="652"/>
      <c r="E24" s="652"/>
      <c r="F24" s="652"/>
      <c r="G24" s="652"/>
      <c r="H24" s="664"/>
      <c r="I24" s="652"/>
      <c r="J24" s="652"/>
      <c r="K24" s="652"/>
      <c r="L24" s="652"/>
      <c r="M24" s="645"/>
      <c r="N24" s="597"/>
      <c r="O24" s="593"/>
      <c r="P24" s="670"/>
      <c r="Q24" s="593"/>
      <c r="R24" s="593"/>
      <c r="S24" s="593"/>
      <c r="T24" s="597"/>
      <c r="U24" s="597"/>
      <c r="V24" s="597"/>
      <c r="W24" s="597"/>
      <c r="X24" s="597"/>
      <c r="Y24" s="597"/>
      <c r="Z24" s="597"/>
      <c r="AA24" s="25"/>
      <c r="AB24" s="25"/>
      <c r="AC24" s="25"/>
    </row>
    <row r="25" spans="2:42" ht="20.25" customHeight="1">
      <c r="B25" s="645"/>
      <c r="C25" s="652"/>
      <c r="D25" s="652"/>
      <c r="E25" s="652"/>
      <c r="F25" s="652"/>
      <c r="G25" s="652"/>
      <c r="H25" s="652"/>
      <c r="I25" s="652"/>
      <c r="J25" s="652"/>
      <c r="K25" s="652"/>
      <c r="L25" s="652"/>
      <c r="M25" s="645"/>
      <c r="N25" s="597"/>
      <c r="O25" s="593"/>
      <c r="P25" s="670"/>
      <c r="Q25" s="593"/>
      <c r="R25" s="593"/>
      <c r="S25" s="593"/>
      <c r="T25" s="597"/>
      <c r="U25" s="597"/>
      <c r="V25" s="597"/>
      <c r="W25" s="597"/>
      <c r="X25" s="597"/>
      <c r="Y25" s="597"/>
      <c r="Z25" s="597"/>
      <c r="AA25" s="25"/>
      <c r="AB25" s="25"/>
      <c r="AC25" s="25"/>
    </row>
    <row r="26" spans="2:42" ht="20.25" customHeight="1">
      <c r="B26" s="645"/>
      <c r="C26" s="1642"/>
      <c r="D26" s="1642"/>
      <c r="E26" s="680"/>
      <c r="F26" s="680"/>
      <c r="G26" s="681"/>
      <c r="H26" s="681"/>
      <c r="I26" s="680"/>
      <c r="J26" s="680"/>
      <c r="K26" s="1642"/>
      <c r="L26" s="1642"/>
      <c r="M26" s="645"/>
      <c r="N26" s="597"/>
      <c r="O26" s="593"/>
      <c r="P26" s="670"/>
      <c r="Q26" s="593"/>
      <c r="R26" s="593"/>
      <c r="S26" s="593"/>
      <c r="T26" s="597"/>
      <c r="U26" s="597"/>
      <c r="V26" s="597"/>
      <c r="W26" s="597"/>
      <c r="X26" s="597"/>
      <c r="Y26" s="597"/>
      <c r="Z26" s="597"/>
      <c r="AA26" s="25"/>
      <c r="AB26" s="25"/>
      <c r="AC26" s="25"/>
    </row>
    <row r="27" spans="2:42" ht="20.25" customHeight="1">
      <c r="B27" s="645"/>
      <c r="C27" s="652"/>
      <c r="D27" s="682"/>
      <c r="E27" s="652"/>
      <c r="F27" s="652"/>
      <c r="G27" s="652"/>
      <c r="H27" s="682"/>
      <c r="I27" s="652"/>
      <c r="J27" s="652"/>
      <c r="K27" s="652"/>
      <c r="L27" s="683"/>
      <c r="M27" s="645"/>
      <c r="N27" s="597"/>
      <c r="O27" s="593"/>
      <c r="P27" s="670"/>
      <c r="Q27" s="593"/>
      <c r="R27" s="593"/>
      <c r="S27" s="593"/>
      <c r="T27" s="597"/>
      <c r="U27" s="597"/>
      <c r="V27" s="597"/>
      <c r="W27" s="597"/>
      <c r="X27" s="597"/>
      <c r="Y27" s="597"/>
      <c r="Z27" s="597"/>
      <c r="AA27" s="25"/>
      <c r="AB27" s="25"/>
      <c r="AC27" s="25"/>
    </row>
    <row r="28" spans="2:42" ht="20.25" customHeight="1">
      <c r="B28" s="645"/>
      <c r="C28" s="652"/>
      <c r="D28" s="684"/>
      <c r="E28" s="652"/>
      <c r="F28" s="652"/>
      <c r="G28" s="652"/>
      <c r="H28" s="683"/>
      <c r="I28" s="652"/>
      <c r="J28" s="652"/>
      <c r="K28" s="652"/>
      <c r="L28" s="683"/>
      <c r="M28" s="645"/>
      <c r="N28" s="597"/>
      <c r="O28" s="593"/>
      <c r="P28" s="670"/>
      <c r="Q28" s="593"/>
      <c r="R28" s="593"/>
      <c r="S28" s="593"/>
      <c r="T28" s="597"/>
      <c r="U28" s="597"/>
      <c r="V28" s="597"/>
      <c r="W28" s="597"/>
      <c r="X28" s="597"/>
      <c r="Y28" s="597"/>
      <c r="Z28" s="597"/>
      <c r="AA28" s="25"/>
      <c r="AB28" s="25"/>
      <c r="AC28" s="25"/>
    </row>
    <row r="29" spans="2:42" ht="20.25" customHeight="1">
      <c r="B29" s="645"/>
      <c r="C29" s="652"/>
      <c r="D29" s="685"/>
      <c r="E29" s="652"/>
      <c r="F29" s="652"/>
      <c r="G29" s="652"/>
      <c r="H29" s="685"/>
      <c r="I29" s="652"/>
      <c r="J29" s="652"/>
      <c r="K29" s="652"/>
      <c r="L29" s="685"/>
      <c r="M29" s="645"/>
      <c r="N29" s="597"/>
      <c r="O29" s="593"/>
      <c r="P29" s="670"/>
      <c r="Q29" s="593"/>
      <c r="R29" s="593"/>
      <c r="S29" s="593"/>
      <c r="T29" s="597"/>
      <c r="U29" s="597"/>
      <c r="V29" s="597"/>
      <c r="W29" s="597"/>
      <c r="X29" s="597"/>
      <c r="Y29" s="597"/>
      <c r="Z29" s="597"/>
      <c r="AA29" s="25"/>
      <c r="AB29" s="25"/>
      <c r="AC29" s="25"/>
    </row>
    <row r="30" spans="2:42" ht="20.25" customHeight="1">
      <c r="B30" s="645"/>
      <c r="C30" s="652"/>
      <c r="D30" s="686"/>
      <c r="E30" s="652"/>
      <c r="F30" s="652"/>
      <c r="G30" s="652"/>
      <c r="H30" s="686"/>
      <c r="I30" s="652"/>
      <c r="J30" s="652"/>
      <c r="K30" s="652"/>
      <c r="L30" s="686"/>
      <c r="M30" s="645"/>
      <c r="N30" s="597"/>
      <c r="O30" s="593"/>
      <c r="P30" s="670"/>
      <c r="Q30" s="593"/>
      <c r="R30" s="593"/>
      <c r="S30" s="593"/>
      <c r="T30" s="597"/>
      <c r="U30" s="597"/>
      <c r="V30" s="597"/>
      <c r="W30" s="597"/>
      <c r="X30" s="597"/>
      <c r="Y30" s="597"/>
      <c r="Z30" s="597"/>
      <c r="AA30" s="25"/>
      <c r="AB30" s="25"/>
      <c r="AC30" s="25"/>
    </row>
    <row r="31" spans="2:42" ht="20.25" customHeight="1">
      <c r="B31" s="645"/>
      <c r="C31" s="652"/>
      <c r="D31" s="685"/>
      <c r="E31" s="652"/>
      <c r="F31" s="652"/>
      <c r="G31" s="652"/>
      <c r="H31" s="685"/>
      <c r="I31" s="652"/>
      <c r="J31" s="652"/>
      <c r="K31" s="652"/>
      <c r="L31" s="685"/>
      <c r="M31" s="645"/>
      <c r="N31" s="597"/>
      <c r="O31" s="593"/>
      <c r="P31" s="670"/>
      <c r="Q31" s="593"/>
      <c r="R31" s="593"/>
      <c r="S31" s="593"/>
      <c r="T31" s="597"/>
      <c r="U31" s="597"/>
      <c r="V31" s="597"/>
      <c r="W31" s="597"/>
      <c r="X31" s="597"/>
      <c r="Y31" s="597"/>
      <c r="Z31" s="597"/>
      <c r="AA31" s="25"/>
      <c r="AB31" s="25"/>
      <c r="AC31" s="25"/>
    </row>
    <row r="32" spans="2:42" ht="20.25" customHeight="1">
      <c r="B32" s="645"/>
      <c r="C32" s="652"/>
      <c r="D32" s="685"/>
      <c r="E32" s="652"/>
      <c r="F32" s="652"/>
      <c r="G32" s="652"/>
      <c r="H32" s="685"/>
      <c r="I32" s="652"/>
      <c r="J32" s="652"/>
      <c r="K32" s="652"/>
      <c r="L32" s="685"/>
      <c r="M32" s="645"/>
      <c r="N32" s="597"/>
      <c r="O32" s="593"/>
      <c r="P32" s="670"/>
      <c r="Q32" s="593"/>
      <c r="R32" s="593"/>
      <c r="S32" s="593"/>
      <c r="T32" s="597"/>
      <c r="U32" s="597"/>
      <c r="V32" s="597"/>
      <c r="W32" s="597"/>
      <c r="X32" s="597"/>
      <c r="Y32" s="597"/>
      <c r="Z32" s="597"/>
      <c r="AA32" s="25"/>
      <c r="AB32" s="25"/>
      <c r="AC32" s="25"/>
    </row>
    <row r="33" spans="2:29" ht="20.25" customHeight="1">
      <c r="B33" s="645"/>
      <c r="C33" s="652"/>
      <c r="D33" s="686"/>
      <c r="E33" s="652"/>
      <c r="F33" s="652"/>
      <c r="G33" s="652"/>
      <c r="H33" s="686"/>
      <c r="I33" s="652"/>
      <c r="J33" s="652"/>
      <c r="K33" s="652"/>
      <c r="L33" s="686"/>
      <c r="M33" s="645"/>
      <c r="N33" s="597"/>
      <c r="O33" s="593"/>
      <c r="P33" s="670"/>
      <c r="Q33" s="593"/>
      <c r="R33" s="593"/>
      <c r="S33" s="593"/>
      <c r="T33" s="597"/>
      <c r="U33" s="597"/>
      <c r="V33" s="597"/>
      <c r="W33" s="597"/>
      <c r="X33" s="597"/>
      <c r="Y33" s="597"/>
      <c r="Z33" s="597"/>
      <c r="AA33" s="25"/>
      <c r="AB33" s="25"/>
      <c r="AC33" s="25"/>
    </row>
    <row r="34" spans="2:29" ht="20.25" customHeight="1">
      <c r="B34" s="645"/>
      <c r="C34" s="652"/>
      <c r="D34" s="683"/>
      <c r="E34" s="652"/>
      <c r="F34" s="652"/>
      <c r="G34" s="652"/>
      <c r="H34" s="683"/>
      <c r="I34" s="652"/>
      <c r="J34" s="652"/>
      <c r="K34" s="652"/>
      <c r="L34" s="683"/>
      <c r="M34" s="645"/>
      <c r="N34" s="597"/>
      <c r="O34" s="593"/>
      <c r="P34" s="593" t="b">
        <f>IFERROR(IF(COUNTA(C13:C31)&gt;0,COUNTA(C13:C31,1)),"")</f>
        <v>0</v>
      </c>
      <c r="Q34" s="593"/>
      <c r="R34" s="593"/>
      <c r="S34" s="593"/>
      <c r="T34" s="597"/>
      <c r="U34" s="597"/>
      <c r="V34" s="597"/>
      <c r="W34" s="597"/>
      <c r="X34" s="597"/>
      <c r="Y34" s="597"/>
      <c r="Z34" s="597"/>
      <c r="AA34" s="25"/>
      <c r="AB34" s="25"/>
      <c r="AC34" s="25"/>
    </row>
    <row r="35" spans="2:29" ht="20.25" customHeight="1">
      <c r="B35" s="645"/>
      <c r="C35" s="652"/>
      <c r="D35" s="683"/>
      <c r="E35" s="652"/>
      <c r="F35" s="652"/>
      <c r="G35" s="652"/>
      <c r="H35" s="683"/>
      <c r="I35" s="652"/>
      <c r="J35" s="652"/>
      <c r="K35" s="652"/>
      <c r="L35" s="683"/>
      <c r="M35" s="645"/>
      <c r="N35" s="597"/>
      <c r="O35" s="593"/>
      <c r="P35" s="593"/>
      <c r="Q35" s="593"/>
      <c r="R35" s="593"/>
      <c r="S35" s="593"/>
      <c r="T35" s="597"/>
      <c r="U35" s="597"/>
      <c r="V35" s="597"/>
      <c r="W35" s="597"/>
      <c r="X35" s="597"/>
      <c r="Y35" s="597"/>
      <c r="Z35" s="597"/>
      <c r="AA35" s="25"/>
      <c r="AB35" s="25"/>
      <c r="AC35" s="25"/>
    </row>
    <row r="36" spans="2:29" ht="20.25" customHeight="1">
      <c r="B36" s="645"/>
      <c r="C36" s="652"/>
      <c r="D36" s="685"/>
      <c r="E36" s="652"/>
      <c r="F36" s="652"/>
      <c r="G36" s="652"/>
      <c r="H36" s="685"/>
      <c r="I36" s="652"/>
      <c r="J36" s="652"/>
      <c r="K36" s="652"/>
      <c r="L36" s="685"/>
      <c r="M36" s="645"/>
      <c r="N36" s="597"/>
      <c r="O36" s="593"/>
      <c r="P36" s="593"/>
      <c r="Q36" s="593"/>
      <c r="R36" s="593"/>
      <c r="S36" s="597"/>
      <c r="T36" s="597"/>
      <c r="U36" s="597"/>
      <c r="V36" s="597"/>
      <c r="W36" s="597"/>
      <c r="X36" s="597"/>
      <c r="Y36" s="597"/>
      <c r="Z36" s="597"/>
      <c r="AA36" s="25"/>
      <c r="AB36" s="25"/>
      <c r="AC36" s="25"/>
    </row>
    <row r="37" spans="2:29" ht="20.25" customHeight="1">
      <c r="B37" s="645"/>
      <c r="C37" s="652"/>
      <c r="D37" s="685"/>
      <c r="E37" s="652"/>
      <c r="F37" s="652"/>
      <c r="G37" s="652"/>
      <c r="H37" s="685"/>
      <c r="I37" s="652"/>
      <c r="J37" s="652"/>
      <c r="K37" s="652"/>
      <c r="L37" s="685"/>
      <c r="M37" s="645"/>
      <c r="N37" s="597"/>
      <c r="O37" s="593"/>
      <c r="P37" s="593"/>
      <c r="Q37" s="593"/>
      <c r="R37" s="593"/>
      <c r="S37" s="597"/>
      <c r="T37" s="597"/>
      <c r="U37" s="597"/>
      <c r="V37" s="597"/>
      <c r="W37" s="597"/>
      <c r="X37" s="597"/>
      <c r="Y37" s="597"/>
      <c r="Z37" s="597"/>
      <c r="AA37" s="25"/>
      <c r="AB37" s="25"/>
      <c r="AC37" s="25"/>
    </row>
    <row r="38" spans="2:29" ht="20.25" customHeight="1">
      <c r="B38" s="645"/>
      <c r="C38" s="652"/>
      <c r="D38" s="685"/>
      <c r="E38" s="652"/>
      <c r="F38" s="652"/>
      <c r="G38" s="652"/>
      <c r="H38" s="685"/>
      <c r="I38" s="652"/>
      <c r="J38" s="652"/>
      <c r="K38" s="652"/>
      <c r="L38" s="685"/>
      <c r="M38" s="645"/>
      <c r="N38" s="597"/>
      <c r="O38" s="593"/>
      <c r="P38" s="593"/>
      <c r="Q38" s="593"/>
      <c r="R38" s="593"/>
      <c r="S38" s="645"/>
      <c r="T38" s="645"/>
      <c r="U38" s="645"/>
      <c r="V38" s="645"/>
      <c r="W38" s="645"/>
      <c r="X38" s="645"/>
      <c r="Y38" s="645"/>
      <c r="Z38" s="645"/>
    </row>
    <row r="39" spans="2:29" ht="20.25" customHeight="1">
      <c r="B39" s="645"/>
      <c r="C39" s="652"/>
      <c r="D39" s="683"/>
      <c r="E39" s="652"/>
      <c r="F39" s="652"/>
      <c r="G39" s="652"/>
      <c r="H39" s="683"/>
      <c r="I39" s="652"/>
      <c r="J39" s="652"/>
      <c r="K39" s="652"/>
      <c r="L39" s="683"/>
      <c r="M39" s="645"/>
      <c r="N39" s="597"/>
      <c r="O39" s="593"/>
      <c r="P39" s="593"/>
      <c r="Q39" s="593"/>
      <c r="R39" s="593"/>
      <c r="S39" s="645"/>
      <c r="T39" s="645"/>
      <c r="U39" s="645"/>
      <c r="V39" s="645"/>
      <c r="W39" s="645"/>
      <c r="X39" s="645"/>
      <c r="Y39" s="645"/>
      <c r="Z39" s="645"/>
    </row>
    <row r="40" spans="2:29" ht="13.5" customHeight="1">
      <c r="B40" s="645"/>
      <c r="C40" s="664"/>
      <c r="D40" s="687"/>
      <c r="E40" s="652"/>
      <c r="F40" s="652"/>
      <c r="G40" s="664"/>
      <c r="H40" s="687"/>
      <c r="I40" s="652"/>
      <c r="J40" s="652"/>
      <c r="K40" s="664"/>
      <c r="L40" s="687"/>
      <c r="M40" s="645"/>
      <c r="N40" s="597"/>
      <c r="O40" s="593"/>
      <c r="P40" s="593"/>
      <c r="Q40" s="593"/>
      <c r="R40" s="593"/>
      <c r="S40" s="645"/>
      <c r="T40" s="645"/>
      <c r="U40" s="645"/>
      <c r="V40" s="645"/>
      <c r="W40" s="645"/>
      <c r="X40" s="645"/>
      <c r="Y40" s="645"/>
      <c r="Z40" s="645"/>
    </row>
    <row r="41" spans="2:29" ht="13.5" customHeight="1">
      <c r="B41" s="645"/>
      <c r="C41" s="652"/>
      <c r="D41" s="652"/>
      <c r="E41" s="652"/>
      <c r="F41" s="652"/>
      <c r="G41" s="652"/>
      <c r="H41" s="652"/>
      <c r="I41" s="652"/>
      <c r="J41" s="652"/>
      <c r="K41" s="652"/>
      <c r="L41" s="652"/>
      <c r="M41" s="645"/>
      <c r="N41" s="597"/>
      <c r="O41" s="593"/>
      <c r="P41" s="593"/>
      <c r="Q41" s="593"/>
      <c r="R41" s="593"/>
      <c r="S41" s="645"/>
      <c r="T41" s="645"/>
      <c r="U41" s="645"/>
      <c r="V41" s="645"/>
      <c r="W41" s="645"/>
      <c r="X41" s="645"/>
      <c r="Y41" s="645"/>
      <c r="Z41" s="645"/>
    </row>
    <row r="42" spans="2:29" ht="13.5" customHeight="1">
      <c r="B42" s="645"/>
      <c r="C42" s="652"/>
      <c r="D42" s="652"/>
      <c r="E42" s="652"/>
      <c r="F42" s="652"/>
      <c r="G42" s="652"/>
      <c r="H42" s="652"/>
      <c r="I42" s="652"/>
      <c r="J42" s="652"/>
      <c r="K42" s="652"/>
      <c r="L42" s="652"/>
      <c r="M42" s="645"/>
      <c r="N42" s="597"/>
      <c r="O42" s="593"/>
      <c r="P42" s="593"/>
      <c r="Q42" s="593"/>
      <c r="R42" s="593"/>
      <c r="S42" s="645"/>
      <c r="T42" s="645"/>
      <c r="U42" s="645"/>
      <c r="V42" s="645"/>
      <c r="W42" s="645"/>
      <c r="X42" s="645"/>
      <c r="Y42" s="645"/>
      <c r="Z42" s="645"/>
    </row>
    <row r="43" spans="2:29" ht="13.5" customHeight="1">
      <c r="B43" s="645"/>
      <c r="C43" s="652"/>
      <c r="D43" s="652"/>
      <c r="E43" s="652"/>
      <c r="F43" s="652"/>
      <c r="G43" s="652"/>
      <c r="H43" s="652"/>
      <c r="I43" s="652"/>
      <c r="J43" s="652"/>
      <c r="K43" s="652"/>
      <c r="L43" s="652"/>
      <c r="M43" s="645"/>
      <c r="N43" s="597"/>
      <c r="O43" s="593"/>
      <c r="P43" s="593"/>
      <c r="Q43" s="593"/>
      <c r="R43" s="593"/>
      <c r="S43" s="645"/>
      <c r="T43" s="645"/>
      <c r="U43" s="645"/>
      <c r="V43" s="645"/>
      <c r="W43" s="645"/>
      <c r="X43" s="645"/>
      <c r="Y43" s="645"/>
      <c r="Z43" s="645"/>
    </row>
    <row r="44" spans="2:29" ht="13.5" customHeight="1">
      <c r="B44" s="645"/>
      <c r="C44" s="652"/>
      <c r="D44" s="652"/>
      <c r="E44" s="652"/>
      <c r="F44" s="652"/>
      <c r="G44" s="652"/>
      <c r="H44" s="652"/>
      <c r="I44" s="652"/>
      <c r="J44" s="652"/>
      <c r="K44" s="652"/>
      <c r="L44" s="652"/>
      <c r="M44" s="645"/>
      <c r="N44" s="597"/>
      <c r="O44" s="593"/>
      <c r="P44" s="593"/>
      <c r="Q44" s="593"/>
      <c r="R44" s="593"/>
      <c r="S44" s="645"/>
      <c r="T44" s="645"/>
      <c r="U44" s="645"/>
      <c r="V44" s="645"/>
      <c r="W44" s="645"/>
      <c r="X44" s="645"/>
      <c r="Y44" s="645"/>
      <c r="Z44" s="645"/>
    </row>
    <row r="45" spans="2:29" ht="13.5" customHeight="1">
      <c r="B45" s="645"/>
      <c r="C45" s="652"/>
      <c r="D45" s="652"/>
      <c r="E45" s="652"/>
      <c r="F45" s="652"/>
      <c r="G45" s="652"/>
      <c r="H45" s="652"/>
      <c r="I45" s="652"/>
      <c r="J45" s="652"/>
      <c r="K45" s="652"/>
      <c r="L45" s="652"/>
      <c r="M45" s="645"/>
      <c r="N45" s="597"/>
      <c r="O45" s="593"/>
      <c r="P45" s="593"/>
      <c r="Q45" s="593"/>
      <c r="R45" s="593"/>
      <c r="S45" s="645"/>
      <c r="T45" s="645"/>
      <c r="U45" s="645"/>
      <c r="V45" s="645"/>
      <c r="W45" s="645"/>
      <c r="X45" s="645"/>
      <c r="Y45" s="645"/>
      <c r="Z45" s="645"/>
    </row>
    <row r="46" spans="2:29" ht="13.5" customHeight="1">
      <c r="B46" s="645"/>
      <c r="C46" s="652"/>
      <c r="D46" s="652"/>
      <c r="E46" s="652"/>
      <c r="F46" s="652"/>
      <c r="G46" s="652"/>
      <c r="H46" s="652"/>
      <c r="I46" s="652"/>
      <c r="J46" s="652"/>
      <c r="K46" s="652"/>
      <c r="L46" s="652"/>
      <c r="M46" s="645"/>
      <c r="N46" s="597"/>
      <c r="O46" s="593"/>
      <c r="P46" s="593"/>
      <c r="Q46" s="593"/>
      <c r="R46" s="593"/>
      <c r="S46" s="645"/>
      <c r="T46" s="645"/>
      <c r="U46" s="645"/>
      <c r="V46" s="645"/>
      <c r="W46" s="645"/>
      <c r="X46" s="645"/>
      <c r="Y46" s="645"/>
      <c r="Z46" s="645"/>
    </row>
    <row r="47" spans="2:29" ht="13.5" customHeight="1">
      <c r="B47" s="645"/>
      <c r="C47" s="652"/>
      <c r="D47" s="652"/>
      <c r="E47" s="652"/>
      <c r="F47" s="652"/>
      <c r="G47" s="652"/>
      <c r="H47" s="652"/>
      <c r="I47" s="652"/>
      <c r="J47" s="652"/>
      <c r="K47" s="652"/>
      <c r="L47" s="652"/>
      <c r="M47" s="645"/>
      <c r="N47" s="597"/>
      <c r="O47" s="593"/>
      <c r="P47" s="593"/>
      <c r="Q47" s="593"/>
      <c r="R47" s="593"/>
      <c r="S47" s="645"/>
      <c r="T47" s="645"/>
      <c r="U47" s="645"/>
      <c r="V47" s="645"/>
      <c r="W47" s="645"/>
      <c r="X47" s="645"/>
      <c r="Y47" s="645"/>
      <c r="Z47" s="645"/>
    </row>
    <row r="48" spans="2:29" ht="13.5" customHeight="1">
      <c r="B48" s="645"/>
      <c r="C48" s="652"/>
      <c r="D48" s="652"/>
      <c r="E48" s="652"/>
      <c r="F48" s="652"/>
      <c r="G48" s="652"/>
      <c r="H48" s="652"/>
      <c r="I48" s="652"/>
      <c r="J48" s="652"/>
      <c r="K48" s="652"/>
      <c r="L48" s="652"/>
      <c r="M48" s="645"/>
      <c r="N48" s="597"/>
      <c r="O48" s="593"/>
      <c r="P48" s="593"/>
      <c r="Q48" s="593"/>
      <c r="R48" s="593"/>
      <c r="S48" s="645"/>
      <c r="T48" s="645"/>
      <c r="U48" s="645"/>
      <c r="V48" s="645"/>
      <c r="W48" s="645"/>
      <c r="X48" s="645"/>
      <c r="Y48" s="645"/>
      <c r="Z48" s="645"/>
    </row>
    <row r="49" spans="2:26" ht="13.5" customHeight="1">
      <c r="B49" s="645"/>
      <c r="C49" s="652"/>
      <c r="D49" s="652"/>
      <c r="E49" s="652"/>
      <c r="F49" s="652"/>
      <c r="G49" s="652"/>
      <c r="H49" s="652"/>
      <c r="I49" s="652"/>
      <c r="J49" s="652"/>
      <c r="K49" s="652"/>
      <c r="L49" s="652"/>
      <c r="M49" s="645"/>
      <c r="N49" s="597"/>
      <c r="O49" s="593"/>
      <c r="P49" s="593"/>
      <c r="Q49" s="593"/>
      <c r="R49" s="593"/>
      <c r="S49" s="645"/>
      <c r="T49" s="645"/>
      <c r="U49" s="645"/>
      <c r="V49" s="645"/>
      <c r="W49" s="645"/>
      <c r="X49" s="645"/>
      <c r="Y49" s="645"/>
      <c r="Z49" s="645"/>
    </row>
    <row r="50" spans="2:26">
      <c r="B50" s="645"/>
      <c r="C50" s="652"/>
      <c r="D50" s="652"/>
      <c r="E50" s="652"/>
      <c r="F50" s="652"/>
      <c r="G50" s="652"/>
      <c r="H50" s="652"/>
      <c r="I50" s="652"/>
      <c r="J50" s="652"/>
      <c r="K50" s="652"/>
      <c r="L50" s="652"/>
      <c r="M50" s="645"/>
      <c r="N50" s="597"/>
      <c r="O50" s="593"/>
      <c r="P50" s="593"/>
      <c r="Q50" s="593"/>
      <c r="R50" s="593"/>
      <c r="S50" s="645"/>
      <c r="T50" s="645"/>
      <c r="U50" s="645"/>
      <c r="V50" s="645"/>
      <c r="W50" s="645"/>
      <c r="X50" s="645"/>
      <c r="Y50" s="645"/>
      <c r="Z50" s="645"/>
    </row>
    <row r="51" spans="2:26">
      <c r="B51" s="645"/>
      <c r="C51" s="652"/>
      <c r="D51" s="652"/>
      <c r="E51" s="652"/>
      <c r="F51" s="652"/>
      <c r="G51" s="652"/>
      <c r="H51" s="652"/>
      <c r="I51" s="652"/>
      <c r="J51" s="652"/>
      <c r="K51" s="652"/>
      <c r="L51" s="652"/>
      <c r="M51" s="645"/>
      <c r="N51" s="597"/>
      <c r="O51" s="593"/>
      <c r="P51" s="593"/>
      <c r="Q51" s="593"/>
      <c r="R51" s="593"/>
      <c r="S51" s="645"/>
      <c r="T51" s="645"/>
      <c r="U51" s="645"/>
      <c r="V51" s="645"/>
      <c r="W51" s="645"/>
      <c r="X51" s="645"/>
      <c r="Y51" s="645"/>
      <c r="Z51" s="645"/>
    </row>
    <row r="52" spans="2:26">
      <c r="B52" s="645"/>
      <c r="C52" s="652"/>
      <c r="D52" s="652"/>
      <c r="E52" s="652"/>
      <c r="F52" s="652"/>
      <c r="G52" s="652"/>
      <c r="H52" s="652"/>
      <c r="I52" s="652"/>
      <c r="J52" s="652"/>
      <c r="K52" s="652"/>
      <c r="L52" s="652"/>
      <c r="M52" s="645"/>
      <c r="N52" s="597"/>
      <c r="O52" s="593"/>
      <c r="P52" s="593"/>
      <c r="Q52" s="593"/>
      <c r="R52" s="593"/>
      <c r="S52" s="645"/>
      <c r="T52" s="645"/>
      <c r="U52" s="645"/>
      <c r="V52" s="645"/>
      <c r="W52" s="645"/>
      <c r="X52" s="645"/>
      <c r="Y52" s="645"/>
      <c r="Z52" s="645"/>
    </row>
    <row r="53" spans="2:26">
      <c r="B53" s="645"/>
      <c r="C53" s="652"/>
      <c r="D53" s="652"/>
      <c r="E53" s="652"/>
      <c r="F53" s="652"/>
      <c r="G53" s="652"/>
      <c r="H53" s="652"/>
      <c r="I53" s="652"/>
      <c r="J53" s="652"/>
      <c r="K53" s="652"/>
      <c r="L53" s="652"/>
      <c r="M53" s="645"/>
      <c r="N53" s="597"/>
      <c r="O53" s="593"/>
      <c r="P53" s="593"/>
      <c r="Q53" s="593"/>
      <c r="R53" s="593"/>
      <c r="S53" s="645"/>
      <c r="T53" s="645"/>
      <c r="U53" s="645"/>
      <c r="V53" s="645"/>
      <c r="W53" s="645"/>
      <c r="X53" s="645"/>
      <c r="Y53" s="645"/>
      <c r="Z53" s="645"/>
    </row>
    <row r="54" spans="2:26">
      <c r="B54" s="645"/>
      <c r="C54" s="652"/>
      <c r="D54" s="652"/>
      <c r="E54" s="652"/>
      <c r="F54" s="652"/>
      <c r="G54" s="652"/>
      <c r="H54" s="652"/>
      <c r="I54" s="652"/>
      <c r="J54" s="652"/>
      <c r="K54" s="652"/>
      <c r="L54" s="652"/>
      <c r="M54" s="645"/>
      <c r="N54" s="597"/>
      <c r="O54" s="593"/>
      <c r="P54" s="593"/>
      <c r="Q54" s="593"/>
      <c r="R54" s="593"/>
      <c r="S54" s="645"/>
      <c r="T54" s="645"/>
      <c r="U54" s="645"/>
      <c r="V54" s="645"/>
      <c r="W54" s="645"/>
      <c r="X54" s="645"/>
      <c r="Y54" s="645"/>
      <c r="Z54" s="645"/>
    </row>
    <row r="55" spans="2:26">
      <c r="B55" s="645"/>
      <c r="C55" s="652"/>
      <c r="D55" s="652"/>
      <c r="E55" s="652"/>
      <c r="F55" s="652"/>
      <c r="G55" s="652"/>
      <c r="H55" s="652"/>
      <c r="I55" s="652"/>
      <c r="J55" s="652"/>
      <c r="K55" s="652"/>
      <c r="L55" s="652"/>
      <c r="M55" s="645"/>
      <c r="N55" s="597"/>
      <c r="O55" s="593"/>
      <c r="P55" s="593"/>
      <c r="Q55" s="593"/>
      <c r="R55" s="593"/>
      <c r="S55" s="645"/>
      <c r="T55" s="645"/>
      <c r="U55" s="645"/>
      <c r="V55" s="645"/>
      <c r="W55" s="645"/>
      <c r="X55" s="645"/>
      <c r="Y55" s="645"/>
      <c r="Z55" s="645"/>
    </row>
    <row r="56" spans="2:26">
      <c r="B56" s="645"/>
      <c r="C56" s="645"/>
      <c r="D56" s="645"/>
      <c r="E56" s="645"/>
      <c r="F56" s="645"/>
      <c r="G56" s="645"/>
      <c r="H56" s="645"/>
      <c r="I56" s="645"/>
      <c r="J56" s="645"/>
      <c r="K56" s="645"/>
      <c r="L56" s="645"/>
      <c r="M56" s="645"/>
      <c r="N56" s="597"/>
      <c r="O56" s="593"/>
      <c r="P56" s="593"/>
      <c r="Q56" s="593"/>
      <c r="R56" s="593"/>
      <c r="S56" s="645"/>
      <c r="T56" s="645"/>
      <c r="U56" s="645"/>
      <c r="V56" s="645"/>
      <c r="W56" s="645"/>
      <c r="X56" s="645"/>
      <c r="Y56" s="645"/>
      <c r="Z56" s="645"/>
    </row>
    <row r="57" spans="2:26">
      <c r="B57" s="645"/>
      <c r="C57" s="645"/>
      <c r="D57" s="645"/>
      <c r="E57" s="645"/>
      <c r="F57" s="645"/>
      <c r="G57" s="645"/>
      <c r="H57" s="645"/>
      <c r="I57" s="645"/>
      <c r="J57" s="645"/>
      <c r="K57" s="645"/>
      <c r="L57" s="645"/>
      <c r="M57" s="645"/>
      <c r="N57" s="597"/>
      <c r="O57" s="593"/>
      <c r="P57" s="593"/>
      <c r="Q57" s="593"/>
      <c r="R57" s="593"/>
      <c r="S57" s="645"/>
      <c r="T57" s="645"/>
      <c r="U57" s="645"/>
      <c r="V57" s="645"/>
      <c r="W57" s="645"/>
      <c r="X57" s="645"/>
      <c r="Y57" s="645"/>
      <c r="Z57" s="645"/>
    </row>
    <row r="58" spans="2:26">
      <c r="B58" s="645"/>
      <c r="C58" s="645"/>
      <c r="D58" s="645"/>
      <c r="E58" s="645"/>
      <c r="F58" s="645"/>
      <c r="G58" s="645"/>
      <c r="H58" s="645"/>
      <c r="I58" s="645"/>
      <c r="J58" s="645"/>
      <c r="K58" s="645"/>
      <c r="L58" s="645"/>
      <c r="M58" s="645"/>
      <c r="N58" s="597"/>
      <c r="O58" s="593"/>
      <c r="P58" s="593"/>
      <c r="Q58" s="593"/>
      <c r="R58" s="593"/>
      <c r="S58" s="645"/>
      <c r="T58" s="645"/>
      <c r="U58" s="645"/>
      <c r="V58" s="645"/>
      <c r="W58" s="645"/>
      <c r="X58" s="645"/>
      <c r="Y58" s="645"/>
      <c r="Z58" s="645"/>
    </row>
    <row r="59" spans="2:26">
      <c r="B59" s="645"/>
      <c r="C59" s="645"/>
      <c r="D59" s="645"/>
      <c r="E59" s="645"/>
      <c r="F59" s="645"/>
      <c r="G59" s="645"/>
      <c r="H59" s="645"/>
      <c r="I59" s="645"/>
      <c r="J59" s="645"/>
      <c r="K59" s="645"/>
      <c r="L59" s="645"/>
      <c r="M59" s="645"/>
      <c r="N59" s="597"/>
      <c r="O59" s="593"/>
      <c r="P59" s="593"/>
      <c r="Q59" s="593"/>
      <c r="R59" s="593"/>
      <c r="S59" s="645"/>
      <c r="T59" s="645"/>
      <c r="U59" s="645"/>
      <c r="V59" s="645"/>
      <c r="W59" s="645"/>
      <c r="X59" s="645"/>
      <c r="Y59" s="645"/>
      <c r="Z59" s="645"/>
    </row>
    <row r="60" spans="2:26">
      <c r="B60" s="645"/>
      <c r="C60" s="645"/>
      <c r="D60" s="645"/>
      <c r="E60" s="645"/>
      <c r="F60" s="645"/>
      <c r="G60" s="645"/>
      <c r="H60" s="645"/>
      <c r="I60" s="645"/>
      <c r="J60" s="645"/>
      <c r="K60" s="645"/>
      <c r="L60" s="645"/>
      <c r="M60" s="645"/>
      <c r="N60" s="597"/>
      <c r="O60" s="593"/>
      <c r="P60" s="593"/>
      <c r="Q60" s="593"/>
      <c r="R60" s="593"/>
      <c r="S60" s="645"/>
      <c r="T60" s="645"/>
      <c r="U60" s="645"/>
      <c r="V60" s="645"/>
      <c r="W60" s="645"/>
      <c r="X60" s="645"/>
      <c r="Y60" s="645"/>
      <c r="Z60" s="645"/>
    </row>
    <row r="61" spans="2:26">
      <c r="B61" s="645"/>
      <c r="C61" s="645"/>
      <c r="D61" s="645"/>
      <c r="E61" s="645"/>
      <c r="F61" s="645"/>
      <c r="G61" s="645"/>
      <c r="H61" s="645"/>
      <c r="I61" s="645"/>
      <c r="J61" s="645"/>
      <c r="K61" s="645"/>
      <c r="L61" s="645"/>
      <c r="M61" s="645"/>
      <c r="N61" s="597"/>
      <c r="O61" s="593"/>
      <c r="P61" s="593"/>
      <c r="Q61" s="593"/>
      <c r="R61" s="593"/>
      <c r="S61" s="645"/>
      <c r="T61" s="645"/>
      <c r="U61" s="645"/>
      <c r="V61" s="645"/>
      <c r="W61" s="645"/>
      <c r="X61" s="645"/>
      <c r="Y61" s="645"/>
      <c r="Z61" s="645"/>
    </row>
    <row r="62" spans="2:26">
      <c r="B62" s="645"/>
      <c r="C62" s="645"/>
      <c r="D62" s="645"/>
      <c r="E62" s="645"/>
      <c r="F62" s="645"/>
      <c r="G62" s="645"/>
      <c r="H62" s="645"/>
      <c r="I62" s="645"/>
      <c r="J62" s="645"/>
      <c r="K62" s="645"/>
      <c r="L62" s="645"/>
      <c r="M62" s="645"/>
      <c r="N62" s="597"/>
      <c r="O62" s="593"/>
      <c r="P62" s="593"/>
      <c r="Q62" s="593"/>
      <c r="R62" s="593"/>
      <c r="S62" s="645"/>
      <c r="T62" s="645"/>
      <c r="U62" s="645"/>
      <c r="V62" s="645"/>
      <c r="W62" s="645"/>
      <c r="X62" s="645"/>
      <c r="Y62" s="645"/>
      <c r="Z62" s="645"/>
    </row>
    <row r="63" spans="2:26">
      <c r="B63" s="645"/>
      <c r="C63" s="645"/>
      <c r="D63" s="645"/>
      <c r="E63" s="645"/>
      <c r="F63" s="645"/>
      <c r="G63" s="645"/>
      <c r="H63" s="645"/>
      <c r="I63" s="645"/>
      <c r="J63" s="645"/>
      <c r="K63" s="645"/>
      <c r="L63" s="645"/>
      <c r="M63" s="645"/>
      <c r="N63" s="597"/>
      <c r="O63" s="593"/>
      <c r="P63" s="593"/>
      <c r="Q63" s="593"/>
      <c r="R63" s="593"/>
      <c r="S63" s="645"/>
      <c r="T63" s="645"/>
      <c r="U63" s="645"/>
      <c r="V63" s="645"/>
      <c r="W63" s="645"/>
      <c r="X63" s="645"/>
      <c r="Y63" s="645"/>
      <c r="Z63" s="645"/>
    </row>
    <row r="64" spans="2:26">
      <c r="B64" s="645"/>
      <c r="C64" s="645"/>
      <c r="D64" s="645"/>
      <c r="E64" s="645"/>
      <c r="F64" s="645"/>
      <c r="G64" s="645"/>
      <c r="H64" s="645"/>
      <c r="I64" s="645"/>
      <c r="J64" s="645"/>
      <c r="K64" s="645"/>
      <c r="L64" s="645"/>
      <c r="M64" s="645"/>
      <c r="N64" s="597"/>
      <c r="O64" s="593"/>
      <c r="P64" s="593"/>
      <c r="Q64" s="593"/>
      <c r="R64" s="593"/>
      <c r="S64" s="645"/>
      <c r="T64" s="645"/>
      <c r="U64" s="645"/>
      <c r="V64" s="645"/>
      <c r="W64" s="645"/>
      <c r="X64" s="645"/>
      <c r="Y64" s="645"/>
      <c r="Z64" s="645"/>
    </row>
    <row r="65" spans="2:26">
      <c r="B65" s="645"/>
      <c r="C65" s="645"/>
      <c r="D65" s="645"/>
      <c r="E65" s="645"/>
      <c r="F65" s="645"/>
      <c r="G65" s="645"/>
      <c r="H65" s="645"/>
      <c r="I65" s="645"/>
      <c r="J65" s="645"/>
      <c r="K65" s="645"/>
      <c r="L65" s="645"/>
      <c r="M65" s="645"/>
      <c r="N65" s="597"/>
      <c r="O65" s="593"/>
      <c r="P65" s="593"/>
      <c r="Q65" s="593"/>
      <c r="R65" s="593"/>
      <c r="S65" s="645"/>
      <c r="T65" s="645"/>
      <c r="U65" s="645"/>
      <c r="V65" s="645"/>
      <c r="W65" s="645"/>
      <c r="X65" s="645"/>
      <c r="Y65" s="645"/>
      <c r="Z65" s="645"/>
    </row>
    <row r="66" spans="2:26">
      <c r="B66" s="645"/>
      <c r="C66" s="645"/>
      <c r="D66" s="645"/>
      <c r="E66" s="645"/>
      <c r="F66" s="645"/>
      <c r="G66" s="645"/>
      <c r="H66" s="645"/>
      <c r="I66" s="645"/>
      <c r="J66" s="645"/>
      <c r="K66" s="645"/>
      <c r="L66" s="645"/>
      <c r="M66" s="645"/>
      <c r="N66" s="597"/>
      <c r="O66" s="593"/>
      <c r="P66" s="593"/>
      <c r="Q66" s="593"/>
      <c r="R66" s="593"/>
      <c r="S66" s="645"/>
      <c r="T66" s="645"/>
      <c r="U66" s="645"/>
      <c r="V66" s="645"/>
      <c r="W66" s="645"/>
      <c r="X66" s="645"/>
      <c r="Y66" s="645"/>
      <c r="Z66" s="645"/>
    </row>
    <row r="67" spans="2:26">
      <c r="B67" s="645"/>
      <c r="C67" s="645"/>
      <c r="D67" s="645"/>
      <c r="E67" s="645"/>
      <c r="F67" s="645"/>
      <c r="G67" s="645"/>
      <c r="H67" s="645"/>
      <c r="I67" s="645"/>
      <c r="J67" s="645"/>
      <c r="K67" s="645"/>
      <c r="L67" s="645"/>
      <c r="M67" s="645"/>
      <c r="N67" s="597"/>
      <c r="O67" s="593"/>
      <c r="P67" s="593"/>
      <c r="Q67" s="593"/>
      <c r="R67" s="593"/>
      <c r="S67" s="645"/>
      <c r="T67" s="645"/>
      <c r="U67" s="645"/>
      <c r="V67" s="645"/>
      <c r="W67" s="645"/>
      <c r="X67" s="645"/>
      <c r="Y67" s="645"/>
      <c r="Z67" s="645"/>
    </row>
    <row r="68" spans="2:26">
      <c r="B68" s="645"/>
      <c r="C68" s="645"/>
      <c r="D68" s="645"/>
      <c r="E68" s="645"/>
      <c r="F68" s="645"/>
      <c r="G68" s="645"/>
      <c r="H68" s="645"/>
      <c r="I68" s="645"/>
      <c r="J68" s="645"/>
      <c r="K68" s="645"/>
      <c r="L68" s="645"/>
      <c r="M68" s="645"/>
      <c r="N68" s="597"/>
      <c r="O68" s="593"/>
      <c r="P68" s="593"/>
      <c r="Q68" s="593"/>
      <c r="R68" s="593"/>
      <c r="S68" s="645"/>
      <c r="T68" s="645"/>
      <c r="U68" s="645"/>
      <c r="V68" s="645"/>
      <c r="W68" s="645"/>
      <c r="X68" s="645"/>
      <c r="Y68" s="645"/>
      <c r="Z68" s="645"/>
    </row>
    <row r="69" spans="2:26">
      <c r="B69" s="645"/>
      <c r="C69" s="645"/>
      <c r="D69" s="645"/>
      <c r="E69" s="645"/>
      <c r="F69" s="645"/>
      <c r="G69" s="645"/>
      <c r="H69" s="645"/>
      <c r="I69" s="645"/>
      <c r="J69" s="645"/>
      <c r="K69" s="645"/>
      <c r="L69" s="645"/>
      <c r="M69" s="645"/>
      <c r="N69" s="597"/>
      <c r="O69" s="593"/>
      <c r="P69" s="593"/>
      <c r="Q69" s="593"/>
      <c r="R69" s="593"/>
      <c r="S69" s="645"/>
      <c r="T69" s="645"/>
      <c r="U69" s="645"/>
      <c r="V69" s="645"/>
      <c r="W69" s="645"/>
      <c r="X69" s="645"/>
      <c r="Y69" s="645"/>
      <c r="Z69" s="645"/>
    </row>
    <row r="70" spans="2:26">
      <c r="B70" s="645"/>
      <c r="C70" s="645"/>
      <c r="D70" s="645"/>
      <c r="E70" s="645"/>
      <c r="F70" s="645"/>
      <c r="G70" s="645"/>
      <c r="H70" s="645"/>
      <c r="I70" s="645"/>
      <c r="J70" s="645"/>
      <c r="K70" s="645"/>
      <c r="L70" s="645"/>
      <c r="M70" s="645"/>
      <c r="N70" s="597"/>
      <c r="O70" s="593"/>
      <c r="P70" s="593"/>
      <c r="Q70" s="593"/>
      <c r="R70" s="593"/>
      <c r="S70" s="645"/>
      <c r="T70" s="645"/>
      <c r="U70" s="645"/>
      <c r="V70" s="645"/>
      <c r="W70" s="645"/>
      <c r="X70" s="645"/>
      <c r="Y70" s="645"/>
      <c r="Z70" s="645"/>
    </row>
    <row r="71" spans="2:26">
      <c r="B71" s="645"/>
      <c r="C71" s="645"/>
      <c r="D71" s="645"/>
      <c r="E71" s="645"/>
      <c r="F71" s="645"/>
      <c r="G71" s="645"/>
      <c r="H71" s="645"/>
      <c r="I71" s="645"/>
      <c r="J71" s="645"/>
      <c r="K71" s="645"/>
      <c r="L71" s="645"/>
      <c r="M71" s="645"/>
      <c r="N71" s="597"/>
      <c r="O71" s="593"/>
      <c r="P71" s="593"/>
      <c r="Q71" s="593"/>
      <c r="R71" s="593"/>
      <c r="S71" s="645"/>
      <c r="T71" s="645"/>
      <c r="U71" s="645"/>
      <c r="V71" s="645"/>
      <c r="W71" s="645"/>
      <c r="X71" s="645"/>
      <c r="Y71" s="645"/>
      <c r="Z71" s="645"/>
    </row>
    <row r="72" spans="2:26">
      <c r="B72" s="645"/>
      <c r="C72" s="645"/>
      <c r="D72" s="645"/>
      <c r="E72" s="645"/>
      <c r="F72" s="645"/>
      <c r="G72" s="645"/>
      <c r="H72" s="645"/>
      <c r="I72" s="645"/>
      <c r="J72" s="645"/>
      <c r="K72" s="645"/>
      <c r="L72" s="645"/>
      <c r="M72" s="645"/>
      <c r="N72" s="597"/>
      <c r="O72" s="593"/>
      <c r="P72" s="593"/>
      <c r="Q72" s="593"/>
      <c r="R72" s="593"/>
      <c r="S72" s="645"/>
      <c r="T72" s="645"/>
      <c r="U72" s="645"/>
      <c r="V72" s="645"/>
      <c r="W72" s="645"/>
      <c r="X72" s="645"/>
      <c r="Y72" s="645"/>
      <c r="Z72" s="645"/>
    </row>
    <row r="73" spans="2:26">
      <c r="B73" s="645"/>
      <c r="C73" s="645"/>
      <c r="D73" s="645"/>
      <c r="E73" s="645"/>
      <c r="F73" s="645"/>
      <c r="G73" s="645"/>
      <c r="H73" s="645"/>
      <c r="I73" s="645"/>
      <c r="J73" s="645"/>
      <c r="K73" s="645"/>
      <c r="L73" s="645"/>
      <c r="M73" s="645"/>
      <c r="N73" s="597"/>
      <c r="O73" s="593"/>
      <c r="P73" s="593"/>
      <c r="Q73" s="593"/>
      <c r="R73" s="593"/>
      <c r="S73" s="645"/>
      <c r="T73" s="645"/>
      <c r="U73" s="645"/>
      <c r="V73" s="645"/>
      <c r="W73" s="645"/>
      <c r="X73" s="645"/>
      <c r="Y73" s="645"/>
      <c r="Z73" s="645"/>
    </row>
    <row r="74" spans="2:26">
      <c r="B74" s="645"/>
      <c r="C74" s="645"/>
      <c r="D74" s="645"/>
      <c r="E74" s="645"/>
      <c r="F74" s="645"/>
      <c r="G74" s="645"/>
      <c r="H74" s="645"/>
      <c r="I74" s="645"/>
      <c r="J74" s="645"/>
      <c r="K74" s="645"/>
      <c r="L74" s="645"/>
      <c r="M74" s="645"/>
      <c r="N74" s="597"/>
      <c r="O74" s="593"/>
      <c r="P74" s="593"/>
      <c r="Q74" s="593"/>
      <c r="R74" s="593"/>
      <c r="S74" s="645"/>
      <c r="T74" s="645"/>
      <c r="U74" s="645"/>
      <c r="V74" s="645"/>
      <c r="W74" s="645"/>
      <c r="X74" s="645"/>
      <c r="Y74" s="645"/>
      <c r="Z74" s="645"/>
    </row>
    <row r="75" spans="2:26">
      <c r="B75" s="645"/>
      <c r="C75" s="645"/>
      <c r="D75" s="645"/>
      <c r="E75" s="645"/>
      <c r="F75" s="645"/>
      <c r="G75" s="645"/>
      <c r="H75" s="645"/>
      <c r="I75" s="645"/>
      <c r="J75" s="645"/>
      <c r="K75" s="645"/>
      <c r="L75" s="645"/>
      <c r="M75" s="645"/>
      <c r="N75" s="597"/>
      <c r="O75" s="593"/>
      <c r="P75" s="593"/>
      <c r="Q75" s="593"/>
      <c r="R75" s="593"/>
      <c r="S75" s="645"/>
      <c r="T75" s="645"/>
      <c r="U75" s="645"/>
      <c r="V75" s="645"/>
      <c r="W75" s="645"/>
      <c r="X75" s="645"/>
      <c r="Y75" s="645"/>
      <c r="Z75" s="645"/>
    </row>
    <row r="76" spans="2:26">
      <c r="B76" s="645"/>
      <c r="C76" s="645"/>
      <c r="D76" s="645"/>
      <c r="E76" s="645"/>
      <c r="F76" s="645"/>
      <c r="G76" s="645"/>
      <c r="H76" s="645"/>
      <c r="I76" s="645"/>
      <c r="J76" s="645"/>
      <c r="K76" s="645"/>
      <c r="L76" s="645"/>
      <c r="M76" s="645"/>
      <c r="N76" s="597"/>
      <c r="O76" s="593"/>
      <c r="P76" s="593"/>
      <c r="Q76" s="593"/>
      <c r="R76" s="593"/>
      <c r="S76" s="645"/>
      <c r="T76" s="645"/>
      <c r="U76" s="645"/>
      <c r="V76" s="645"/>
      <c r="W76" s="645"/>
      <c r="X76" s="645"/>
      <c r="Y76" s="645"/>
      <c r="Z76" s="645"/>
    </row>
    <row r="77" spans="2:26">
      <c r="B77" s="645"/>
      <c r="C77" s="645"/>
      <c r="D77" s="645"/>
      <c r="E77" s="645"/>
      <c r="F77" s="645"/>
      <c r="G77" s="645"/>
      <c r="H77" s="645"/>
      <c r="I77" s="645"/>
      <c r="J77" s="645"/>
      <c r="K77" s="645"/>
      <c r="L77" s="645"/>
      <c r="M77" s="645"/>
      <c r="N77" s="597"/>
      <c r="O77" s="593"/>
      <c r="P77" s="593"/>
      <c r="Q77" s="593"/>
      <c r="R77" s="593"/>
      <c r="S77" s="645"/>
      <c r="T77" s="645"/>
      <c r="U77" s="645"/>
      <c r="V77" s="645"/>
      <c r="W77" s="645"/>
      <c r="X77" s="645"/>
      <c r="Y77" s="645"/>
      <c r="Z77" s="645"/>
    </row>
  </sheetData>
  <mergeCells count="4">
    <mergeCell ref="C12:D12"/>
    <mergeCell ref="K12:L12"/>
    <mergeCell ref="C26:D26"/>
    <mergeCell ref="K26:L26"/>
  </mergeCells>
  <printOptions horizontalCentered="1"/>
  <pageMargins left="0" right="0" top="1.75" bottom="0.5" header="0" footer="0"/>
  <pageSetup scale="98" orientation="landscape" cellComments="atEnd" r:id="rId1"/>
  <customProperties>
    <customPr name="GUID" r:id="rId2"/>
  </customProperties>
  <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2FB2C-0ACC-417B-B485-7B106153B25A}">
  <sheetPr codeName="Sheet32">
    <tabColor rgb="FFFF7F32"/>
    <pageSetUpPr fitToPage="1"/>
  </sheetPr>
  <dimension ref="C3:AI48"/>
  <sheetViews>
    <sheetView zoomScale="110" zoomScaleNormal="110" workbookViewId="0">
      <selection activeCell="M56" sqref="M56"/>
    </sheetView>
  </sheetViews>
  <sheetFormatPr defaultColWidth="8.85546875" defaultRowHeight="14.25"/>
  <cols>
    <col min="1" max="3" width="8.85546875" style="1076"/>
    <col min="4" max="5" width="11.5703125" style="1076" customWidth="1"/>
    <col min="6" max="21" width="8.85546875" style="1076"/>
    <col min="22" max="26" width="13.5703125" style="1076" customWidth="1"/>
    <col min="27" max="30" width="8.85546875" style="1076"/>
    <col min="31" max="35" width="14" style="1076" customWidth="1"/>
    <col min="36" max="16384" width="8.85546875" style="1076"/>
  </cols>
  <sheetData>
    <row r="3" spans="3:35" ht="15" thickBot="1">
      <c r="C3" s="1073"/>
      <c r="D3" s="1074"/>
      <c r="E3" s="1074"/>
      <c r="F3" s="1074"/>
      <c r="G3" s="1075"/>
      <c r="H3" s="1075"/>
      <c r="I3" s="1075"/>
      <c r="J3" s="1075"/>
      <c r="K3" s="1075"/>
      <c r="L3" s="1075"/>
      <c r="M3" s="1075"/>
      <c r="N3" s="1075"/>
      <c r="O3" s="1075"/>
      <c r="P3" s="1075"/>
      <c r="Q3" s="1075"/>
      <c r="R3" s="1075"/>
      <c r="S3" s="1075"/>
      <c r="T3" s="1075"/>
    </row>
    <row r="4" spans="3:35" ht="15" thickBot="1">
      <c r="C4" s="1073"/>
      <c r="D4" s="1077" t="s">
        <v>1890</v>
      </c>
      <c r="E4" s="1078" t="s">
        <v>8</v>
      </c>
      <c r="F4" s="1074"/>
      <c r="G4" s="1075"/>
      <c r="H4" s="1075"/>
      <c r="I4" s="1075"/>
      <c r="J4" s="1075"/>
      <c r="K4" s="1075"/>
      <c r="L4" s="1075"/>
      <c r="M4" s="1075"/>
      <c r="N4" s="1075"/>
      <c r="O4" s="1075"/>
      <c r="P4" s="1075"/>
      <c r="Q4" s="1075"/>
      <c r="R4" s="1075"/>
      <c r="S4" s="1075"/>
      <c r="T4" s="1075"/>
      <c r="AD4" s="1073"/>
      <c r="AE4" s="1077" t="s">
        <v>1890</v>
      </c>
      <c r="AF4" s="1079" t="s">
        <v>1891</v>
      </c>
      <c r="AG4" s="1079" t="s">
        <v>1892</v>
      </c>
      <c r="AH4" s="1079" t="s">
        <v>1893</v>
      </c>
      <c r="AI4" s="1078" t="s">
        <v>1894</v>
      </c>
    </row>
    <row r="5" spans="3:35">
      <c r="C5" s="1080"/>
      <c r="D5" s="1081" t="s">
        <v>1895</v>
      </c>
      <c r="E5" s="1082">
        <v>5.15</v>
      </c>
      <c r="F5" s="1092">
        <f>AVERAGE($E$5:$E$15)</f>
        <v>4.8899999999999997</v>
      </c>
      <c r="G5" s="1075"/>
      <c r="H5" s="1075"/>
      <c r="I5" s="1075"/>
      <c r="J5" s="1075"/>
      <c r="K5" s="1075"/>
      <c r="L5" s="1075"/>
      <c r="M5" s="1075"/>
      <c r="N5" s="1075"/>
      <c r="O5" s="1075"/>
      <c r="P5" s="1075"/>
      <c r="Q5" s="1075"/>
      <c r="R5" s="1075"/>
      <c r="S5" s="1075"/>
      <c r="T5" s="1075"/>
      <c r="AD5" s="1080"/>
      <c r="AE5" s="1081" t="s">
        <v>1895</v>
      </c>
      <c r="AF5" s="1083">
        <v>800</v>
      </c>
      <c r="AG5" s="1083">
        <v>875</v>
      </c>
      <c r="AH5" s="1083"/>
      <c r="AI5" s="1083">
        <v>690</v>
      </c>
    </row>
    <row r="6" spans="3:35">
      <c r="C6" s="1080">
        <v>1</v>
      </c>
      <c r="D6" s="1084" t="s">
        <v>1896</v>
      </c>
      <c r="E6" s="1151">
        <v>4.5</v>
      </c>
      <c r="F6" s="1092">
        <f t="shared" ref="F6:F15" si="0">AVERAGE($E$5:$E$15)</f>
        <v>4.8899999999999997</v>
      </c>
      <c r="G6" s="1075"/>
      <c r="H6" s="1075"/>
      <c r="I6" s="1075"/>
      <c r="J6" s="1075"/>
      <c r="K6" s="1075"/>
      <c r="L6" s="1075"/>
      <c r="M6" s="1075"/>
      <c r="N6" s="1075"/>
      <c r="O6" s="1075"/>
      <c r="P6" s="1075"/>
      <c r="Q6" s="1075"/>
      <c r="R6" s="1075"/>
      <c r="S6" s="1075"/>
      <c r="T6" s="1075"/>
      <c r="AD6" s="1080">
        <v>1</v>
      </c>
      <c r="AE6" s="1084" t="s">
        <v>1896</v>
      </c>
      <c r="AF6" s="1152">
        <v>810</v>
      </c>
      <c r="AG6" s="1152">
        <v>900</v>
      </c>
      <c r="AH6" s="1152">
        <v>950</v>
      </c>
      <c r="AI6" s="1152">
        <v>700</v>
      </c>
    </row>
    <row r="7" spans="3:35">
      <c r="C7" s="1080">
        <v>2</v>
      </c>
      <c r="D7" s="1084" t="s">
        <v>1897</v>
      </c>
      <c r="E7" s="1151">
        <v>4.75</v>
      </c>
      <c r="F7" s="1092">
        <f t="shared" si="0"/>
        <v>4.8899999999999997</v>
      </c>
      <c r="G7" s="1075"/>
      <c r="H7" s="1075"/>
      <c r="I7" s="1075"/>
      <c r="J7" s="1075"/>
      <c r="K7" s="1075"/>
      <c r="L7" s="1075"/>
      <c r="M7" s="1075"/>
      <c r="N7" s="1075"/>
      <c r="O7" s="1075"/>
      <c r="P7" s="1075"/>
      <c r="Q7" s="1075"/>
      <c r="R7" s="1075"/>
      <c r="S7" s="1075"/>
      <c r="T7" s="1075"/>
      <c r="AD7" s="1080">
        <v>2</v>
      </c>
      <c r="AE7" s="1084" t="s">
        <v>1897</v>
      </c>
      <c r="AF7" s="1152">
        <v>900</v>
      </c>
      <c r="AG7" s="1152">
        <v>975</v>
      </c>
      <c r="AH7" s="1152">
        <v>1000</v>
      </c>
      <c r="AI7" s="1152"/>
    </row>
    <row r="8" spans="3:35">
      <c r="C8" s="1080">
        <v>3</v>
      </c>
      <c r="D8" s="1084" t="s">
        <v>1898</v>
      </c>
      <c r="E8" s="1151">
        <v>5.25</v>
      </c>
      <c r="F8" s="1092">
        <f t="shared" si="0"/>
        <v>4.8899999999999997</v>
      </c>
      <c r="G8" s="1075"/>
      <c r="H8" s="1075"/>
      <c r="I8" s="1075"/>
      <c r="J8" s="1075"/>
      <c r="K8" s="1075"/>
      <c r="L8" s="1075"/>
      <c r="M8" s="1075"/>
      <c r="N8" s="1075"/>
      <c r="O8" s="1075"/>
      <c r="P8" s="1075"/>
      <c r="Q8" s="1075"/>
      <c r="R8" s="1075"/>
      <c r="S8" s="1075"/>
      <c r="T8" s="1075"/>
      <c r="AD8" s="1080">
        <v>3</v>
      </c>
      <c r="AE8" s="1084" t="s">
        <v>1898</v>
      </c>
      <c r="AF8" s="1152">
        <v>750</v>
      </c>
      <c r="AG8" s="1152">
        <v>825</v>
      </c>
      <c r="AH8" s="1152"/>
      <c r="AI8" s="1152">
        <v>700</v>
      </c>
    </row>
    <row r="9" spans="3:35">
      <c r="C9" s="1080">
        <v>4</v>
      </c>
      <c r="D9" s="1084" t="s">
        <v>1899</v>
      </c>
      <c r="E9" s="1151">
        <v>4.8</v>
      </c>
      <c r="F9" s="1092">
        <f t="shared" si="0"/>
        <v>4.8899999999999997</v>
      </c>
      <c r="G9" s="1075"/>
      <c r="H9" s="1075"/>
      <c r="I9" s="1075"/>
      <c r="J9" s="1075"/>
      <c r="K9" s="1075"/>
      <c r="L9" s="1075"/>
      <c r="M9" s="1075"/>
      <c r="N9" s="1075"/>
      <c r="O9" s="1075"/>
      <c r="P9" s="1075"/>
      <c r="Q9" s="1075"/>
      <c r="R9" s="1075"/>
      <c r="S9" s="1075"/>
      <c r="T9" s="1075"/>
      <c r="AD9" s="1080">
        <v>4</v>
      </c>
      <c r="AE9" s="1084" t="s">
        <v>1899</v>
      </c>
      <c r="AF9" s="1152">
        <v>825</v>
      </c>
      <c r="AG9" s="1152"/>
      <c r="AH9" s="1152">
        <v>910</v>
      </c>
      <c r="AI9" s="1152">
        <v>715</v>
      </c>
    </row>
    <row r="10" spans="3:35">
      <c r="C10" s="1080">
        <v>5</v>
      </c>
      <c r="D10" s="1084"/>
      <c r="E10" s="1151"/>
      <c r="F10" s="1092">
        <f t="shared" si="0"/>
        <v>4.8899999999999997</v>
      </c>
      <c r="G10" s="1075"/>
      <c r="H10" s="1075"/>
      <c r="I10" s="1075"/>
      <c r="J10" s="1075"/>
      <c r="K10" s="1075"/>
      <c r="L10" s="1075"/>
      <c r="M10" s="1075"/>
      <c r="N10" s="1075"/>
      <c r="O10" s="1075"/>
      <c r="P10" s="1075"/>
      <c r="Q10" s="1075"/>
      <c r="R10" s="1075"/>
      <c r="S10" s="1075"/>
      <c r="T10" s="1075"/>
      <c r="AD10" s="1080">
        <v>5</v>
      </c>
      <c r="AE10" s="1084"/>
      <c r="AF10" s="1152"/>
      <c r="AG10" s="1152"/>
      <c r="AH10" s="1152"/>
      <c r="AI10" s="1152"/>
    </row>
    <row r="11" spans="3:35">
      <c r="C11" s="1080">
        <v>6</v>
      </c>
      <c r="D11" s="1084"/>
      <c r="E11" s="1151"/>
      <c r="F11" s="1092">
        <f t="shared" si="0"/>
        <v>4.8899999999999997</v>
      </c>
      <c r="G11" s="1075"/>
      <c r="H11" s="1075"/>
      <c r="I11" s="1075"/>
      <c r="J11" s="1075"/>
      <c r="K11" s="1075"/>
      <c r="L11" s="1075"/>
      <c r="M11" s="1075"/>
      <c r="N11" s="1075"/>
      <c r="O11" s="1075"/>
      <c r="P11" s="1075"/>
      <c r="Q11" s="1075"/>
      <c r="R11" s="1075"/>
      <c r="S11" s="1075"/>
      <c r="T11" s="1075"/>
      <c r="AD11" s="1080">
        <v>6</v>
      </c>
      <c r="AE11" s="1084"/>
      <c r="AF11" s="1152"/>
      <c r="AG11" s="1152"/>
      <c r="AH11" s="1152"/>
      <c r="AI11" s="1152"/>
    </row>
    <row r="12" spans="3:35">
      <c r="C12" s="1080">
        <v>7</v>
      </c>
      <c r="D12" s="1084"/>
      <c r="E12" s="1151"/>
      <c r="F12" s="1092">
        <f t="shared" si="0"/>
        <v>4.8899999999999997</v>
      </c>
      <c r="G12" s="1075"/>
      <c r="H12" s="1075"/>
      <c r="I12" s="1075"/>
      <c r="J12" s="1075"/>
      <c r="K12" s="1075"/>
      <c r="L12" s="1075"/>
      <c r="M12" s="1075"/>
      <c r="N12" s="1075"/>
      <c r="O12" s="1075"/>
      <c r="P12" s="1075"/>
      <c r="Q12" s="1075"/>
      <c r="R12" s="1075"/>
      <c r="S12" s="1075"/>
      <c r="T12" s="1075"/>
      <c r="AD12" s="1080">
        <v>7</v>
      </c>
      <c r="AE12" s="1084"/>
      <c r="AF12" s="1152"/>
      <c r="AG12" s="1152"/>
      <c r="AH12" s="1152"/>
      <c r="AI12" s="1152"/>
    </row>
    <row r="13" spans="3:35">
      <c r="C13" s="1080">
        <v>8</v>
      </c>
      <c r="D13" s="1084"/>
      <c r="E13" s="1151"/>
      <c r="F13" s="1092">
        <f t="shared" si="0"/>
        <v>4.8899999999999997</v>
      </c>
      <c r="G13" s="1075"/>
      <c r="H13" s="1075"/>
      <c r="I13" s="1075"/>
      <c r="J13" s="1075"/>
      <c r="K13" s="1075"/>
      <c r="L13" s="1075"/>
      <c r="M13" s="1075"/>
      <c r="N13" s="1075"/>
      <c r="O13" s="1075"/>
      <c r="P13" s="1075"/>
      <c r="Q13" s="1075"/>
      <c r="R13" s="1075"/>
      <c r="S13" s="1075"/>
      <c r="T13" s="1075"/>
      <c r="AD13" s="1080">
        <v>8</v>
      </c>
      <c r="AE13" s="1084"/>
      <c r="AF13" s="1152"/>
      <c r="AG13" s="1152"/>
      <c r="AH13" s="1152"/>
      <c r="AI13" s="1152"/>
    </row>
    <row r="14" spans="3:35">
      <c r="C14" s="1080">
        <v>9</v>
      </c>
      <c r="D14" s="1084"/>
      <c r="E14" s="1151"/>
      <c r="F14" s="1092">
        <f t="shared" si="0"/>
        <v>4.8899999999999997</v>
      </c>
      <c r="G14" s="1075"/>
      <c r="H14" s="1075"/>
      <c r="I14" s="1075"/>
      <c r="J14" s="1075"/>
      <c r="K14" s="1075"/>
      <c r="L14" s="1075"/>
      <c r="M14" s="1075"/>
      <c r="N14" s="1075"/>
      <c r="O14" s="1075"/>
      <c r="P14" s="1075"/>
      <c r="Q14" s="1075"/>
      <c r="R14" s="1075"/>
      <c r="S14" s="1075"/>
      <c r="T14" s="1075"/>
      <c r="AD14" s="1080">
        <v>9</v>
      </c>
      <c r="AE14" s="1084"/>
      <c r="AF14" s="1152"/>
      <c r="AG14" s="1152"/>
      <c r="AH14" s="1152"/>
      <c r="AI14" s="1152"/>
    </row>
    <row r="15" spans="3:35">
      <c r="C15" s="1080">
        <v>10</v>
      </c>
      <c r="D15" s="1084"/>
      <c r="E15" s="1151"/>
      <c r="F15" s="1092">
        <f t="shared" si="0"/>
        <v>4.8899999999999997</v>
      </c>
      <c r="G15" s="1075"/>
      <c r="H15" s="1075"/>
      <c r="I15" s="1075"/>
      <c r="J15" s="1075"/>
      <c r="K15" s="1075"/>
      <c r="L15" s="1075"/>
      <c r="M15" s="1075"/>
      <c r="N15" s="1075"/>
      <c r="O15" s="1075"/>
      <c r="P15" s="1075"/>
      <c r="Q15" s="1075"/>
      <c r="R15" s="1075"/>
      <c r="S15" s="1075"/>
      <c r="T15" s="1075"/>
      <c r="AD15" s="1080">
        <v>10</v>
      </c>
      <c r="AE15" s="1084"/>
      <c r="AF15" s="1152"/>
      <c r="AG15" s="1152"/>
      <c r="AH15" s="1152"/>
      <c r="AI15" s="1152"/>
    </row>
    <row r="16" spans="3:35">
      <c r="C16" s="1073"/>
      <c r="D16" s="1073"/>
      <c r="E16" s="1085"/>
      <c r="F16" s="1074"/>
      <c r="G16" s="1075"/>
      <c r="H16" s="1075"/>
      <c r="I16" s="1075"/>
      <c r="J16" s="1075"/>
      <c r="K16" s="1075"/>
      <c r="L16" s="1075"/>
      <c r="M16" s="1075"/>
      <c r="N16" s="1075"/>
      <c r="O16" s="1075"/>
      <c r="P16" s="1075"/>
      <c r="Q16" s="1075"/>
      <c r="R16" s="1075"/>
      <c r="S16" s="1075"/>
      <c r="T16" s="1075"/>
    </row>
    <row r="17" spans="3:33">
      <c r="C17" s="1073"/>
      <c r="D17" s="1073"/>
      <c r="E17" s="1073"/>
      <c r="F17" s="1074"/>
      <c r="G17" s="1075"/>
      <c r="H17" s="1075"/>
      <c r="I17" s="1075"/>
      <c r="J17" s="1075"/>
      <c r="K17" s="1075"/>
      <c r="L17" s="1075"/>
      <c r="M17" s="1075"/>
      <c r="N17" s="1075"/>
      <c r="O17" s="1075"/>
      <c r="P17" s="1075"/>
      <c r="Q17" s="1075"/>
      <c r="R17" s="1075"/>
      <c r="S17" s="1075"/>
      <c r="T17" s="1075"/>
    </row>
    <row r="18" spans="3:33">
      <c r="C18" s="1073"/>
      <c r="D18" s="1073"/>
      <c r="E18" s="1073"/>
      <c r="F18" s="1074"/>
      <c r="G18" s="1075"/>
      <c r="H18" s="1075"/>
      <c r="I18" s="1075"/>
      <c r="J18" s="1075"/>
      <c r="K18" s="1075"/>
      <c r="L18" s="1075"/>
      <c r="M18" s="1075"/>
      <c r="N18" s="1075"/>
      <c r="O18" s="1075"/>
      <c r="P18" s="1075"/>
      <c r="Q18" s="1075"/>
      <c r="R18" s="1075"/>
      <c r="S18" s="1075"/>
      <c r="T18" s="1075"/>
    </row>
    <row r="19" spans="3:33">
      <c r="C19" s="1073"/>
      <c r="D19" s="1073"/>
      <c r="E19" s="1073"/>
      <c r="F19" s="1074"/>
      <c r="G19" s="1075"/>
      <c r="H19" s="1075"/>
      <c r="I19" s="1075"/>
      <c r="J19" s="1075"/>
      <c r="K19" s="1075"/>
      <c r="L19" s="1075"/>
      <c r="M19" s="1075"/>
      <c r="N19" s="1075"/>
      <c r="O19" s="1075"/>
      <c r="P19" s="1075"/>
      <c r="Q19" s="1075"/>
      <c r="R19" s="1075"/>
      <c r="S19" s="1075"/>
      <c r="T19" s="1075"/>
    </row>
    <row r="20" spans="3:33">
      <c r="C20" s="1073"/>
      <c r="D20" s="1073"/>
      <c r="E20" s="1073"/>
      <c r="F20" s="1074"/>
      <c r="G20" s="1075"/>
      <c r="H20" s="1075"/>
      <c r="I20" s="1075"/>
      <c r="J20" s="1075"/>
      <c r="K20" s="1075"/>
      <c r="L20" s="1075"/>
      <c r="M20" s="1075"/>
      <c r="N20" s="1075"/>
      <c r="O20" s="1075"/>
      <c r="P20" s="1075"/>
      <c r="Q20" s="1075"/>
      <c r="R20" s="1075"/>
      <c r="S20" s="1075"/>
      <c r="T20" s="1075"/>
    </row>
    <row r="21" spans="3:33">
      <c r="F21" s="1074"/>
      <c r="G21" s="1075"/>
      <c r="H21" s="1075"/>
      <c r="I21" s="1075"/>
      <c r="J21" s="1075"/>
      <c r="K21" s="1075"/>
      <c r="L21" s="1075"/>
      <c r="M21" s="1075"/>
      <c r="N21" s="1075"/>
      <c r="O21" s="1075"/>
      <c r="P21" s="1075"/>
      <c r="Q21" s="1075"/>
      <c r="R21" s="1075"/>
      <c r="S21" s="1075"/>
      <c r="T21" s="1075"/>
    </row>
    <row r="22" spans="3:33" ht="15" thickBot="1">
      <c r="F22" s="1074"/>
      <c r="G22" s="1075"/>
      <c r="H22" s="1075"/>
      <c r="I22" s="1075"/>
      <c r="J22" s="1075"/>
      <c r="K22" s="1075"/>
      <c r="L22" s="1075"/>
      <c r="M22" s="1075"/>
      <c r="N22" s="1075"/>
      <c r="O22" s="1075"/>
      <c r="P22" s="1075"/>
      <c r="Q22" s="1075"/>
      <c r="R22" s="1075"/>
      <c r="S22" s="1075"/>
      <c r="T22" s="1075"/>
    </row>
    <row r="23" spans="3:33" ht="15" thickBot="1">
      <c r="C23" s="1073"/>
      <c r="D23" s="1077" t="s">
        <v>1890</v>
      </c>
      <c r="E23" s="1078" t="s">
        <v>4</v>
      </c>
      <c r="F23" s="1074"/>
      <c r="G23" s="1075"/>
      <c r="H23" s="1075"/>
      <c r="I23" s="1075"/>
      <c r="J23" s="1075"/>
      <c r="K23" s="1075"/>
      <c r="L23" s="1075"/>
      <c r="M23" s="1075"/>
      <c r="N23" s="1075"/>
      <c r="O23" s="1075"/>
      <c r="P23" s="1075"/>
      <c r="Q23" s="1075"/>
      <c r="R23" s="1075"/>
      <c r="S23" s="1075"/>
      <c r="T23" s="1075"/>
      <c r="AD23" s="1073"/>
      <c r="AE23" s="1077" t="s">
        <v>1890</v>
      </c>
      <c r="AF23" s="1079" t="s">
        <v>1274</v>
      </c>
      <c r="AG23" s="1078" t="s">
        <v>199</v>
      </c>
    </row>
    <row r="24" spans="3:33">
      <c r="C24" s="1080"/>
      <c r="D24" s="1081" t="s">
        <v>1895</v>
      </c>
      <c r="E24" s="1086">
        <v>250000</v>
      </c>
      <c r="F24" s="1093">
        <f>AVERAGE($E$24:$E$34)</f>
        <v>273000</v>
      </c>
      <c r="G24" s="1075"/>
      <c r="H24" s="1075"/>
      <c r="I24" s="1075"/>
      <c r="J24" s="1075"/>
      <c r="K24" s="1075"/>
      <c r="L24" s="1075"/>
      <c r="M24" s="1075"/>
      <c r="N24" s="1075"/>
      <c r="O24" s="1075"/>
      <c r="P24" s="1075"/>
      <c r="Q24" s="1075"/>
      <c r="R24" s="1075"/>
      <c r="S24" s="1075"/>
      <c r="T24" s="1075"/>
      <c r="AD24" s="1080"/>
      <c r="AE24" s="1081" t="s">
        <v>1895</v>
      </c>
      <c r="AF24" s="1087">
        <v>5.5</v>
      </c>
      <c r="AG24" s="1087">
        <v>15.5</v>
      </c>
    </row>
    <row r="25" spans="3:33">
      <c r="C25" s="1080">
        <v>1</v>
      </c>
      <c r="D25" s="1084" t="s">
        <v>1896</v>
      </c>
      <c r="E25" s="1153">
        <v>275000</v>
      </c>
      <c r="F25" s="1093">
        <f t="shared" ref="F25:F34" si="1">AVERAGE($E$24:$E$34)</f>
        <v>273000</v>
      </c>
      <c r="G25" s="1075"/>
      <c r="H25" s="1075"/>
      <c r="I25" s="1075"/>
      <c r="J25" s="1075"/>
      <c r="K25" s="1075"/>
      <c r="L25" s="1075"/>
      <c r="M25" s="1075"/>
      <c r="N25" s="1075"/>
      <c r="O25" s="1075"/>
      <c r="P25" s="1075"/>
      <c r="Q25" s="1075"/>
      <c r="R25" s="1075"/>
      <c r="S25" s="1075"/>
      <c r="T25" s="1075"/>
      <c r="AD25" s="1080">
        <v>1</v>
      </c>
      <c r="AE25" s="1084" t="s">
        <v>1896</v>
      </c>
      <c r="AF25" s="1154">
        <v>6.23</v>
      </c>
      <c r="AG25" s="1154">
        <v>14.25</v>
      </c>
    </row>
    <row r="26" spans="3:33">
      <c r="C26" s="1080">
        <v>2</v>
      </c>
      <c r="D26" s="1084" t="s">
        <v>1897</v>
      </c>
      <c r="E26" s="1153">
        <v>300000</v>
      </c>
      <c r="F26" s="1093">
        <f t="shared" si="1"/>
        <v>273000</v>
      </c>
      <c r="G26" s="1075"/>
      <c r="H26" s="1075"/>
      <c r="I26" s="1075"/>
      <c r="J26" s="1075"/>
      <c r="K26" s="1075"/>
      <c r="L26" s="1075"/>
      <c r="M26" s="1075"/>
      <c r="N26" s="1075"/>
      <c r="O26" s="1075"/>
      <c r="P26" s="1075"/>
      <c r="Q26" s="1075"/>
      <c r="R26" s="1075"/>
      <c r="S26" s="1075"/>
      <c r="T26" s="1075"/>
      <c r="AD26" s="1080">
        <v>2</v>
      </c>
      <c r="AE26" s="1084" t="s">
        <v>1897</v>
      </c>
      <c r="AF26" s="1154">
        <v>4.9800000000000004</v>
      </c>
      <c r="AG26" s="1154">
        <v>13.84</v>
      </c>
    </row>
    <row r="27" spans="3:33">
      <c r="C27" s="1080">
        <v>3</v>
      </c>
      <c r="D27" s="1084" t="s">
        <v>1898</v>
      </c>
      <c r="E27" s="1153">
        <v>260000</v>
      </c>
      <c r="F27" s="1093">
        <f t="shared" si="1"/>
        <v>273000</v>
      </c>
      <c r="G27" s="1075"/>
      <c r="H27" s="1075"/>
      <c r="I27" s="1075"/>
      <c r="J27" s="1075"/>
      <c r="K27" s="1075"/>
      <c r="L27" s="1075"/>
      <c r="M27" s="1075"/>
      <c r="N27" s="1075"/>
      <c r="O27" s="1075"/>
      <c r="P27" s="1075"/>
      <c r="Q27" s="1075"/>
      <c r="R27" s="1075"/>
      <c r="S27" s="1075"/>
      <c r="T27" s="1075"/>
      <c r="AD27" s="1080">
        <v>3</v>
      </c>
      <c r="AE27" s="1084" t="s">
        <v>1898</v>
      </c>
      <c r="AF27" s="1154">
        <v>6.98</v>
      </c>
      <c r="AG27" s="1154">
        <v>14.35</v>
      </c>
    </row>
    <row r="28" spans="3:33">
      <c r="C28" s="1080">
        <v>4</v>
      </c>
      <c r="D28" s="1084" t="s">
        <v>1899</v>
      </c>
      <c r="E28" s="1153">
        <v>280000</v>
      </c>
      <c r="F28" s="1093">
        <f t="shared" si="1"/>
        <v>273000</v>
      </c>
      <c r="G28" s="1075"/>
      <c r="H28" s="1075"/>
      <c r="I28" s="1075"/>
      <c r="J28" s="1075"/>
      <c r="K28" s="1075"/>
      <c r="L28" s="1075"/>
      <c r="M28" s="1075"/>
      <c r="N28" s="1075"/>
      <c r="O28" s="1075"/>
      <c r="P28" s="1075"/>
      <c r="Q28" s="1075"/>
      <c r="R28" s="1075"/>
      <c r="S28" s="1075"/>
      <c r="T28" s="1075"/>
      <c r="AD28" s="1080">
        <v>4</v>
      </c>
      <c r="AE28" s="1084" t="s">
        <v>1899</v>
      </c>
      <c r="AF28" s="1154">
        <v>5.85</v>
      </c>
      <c r="AG28" s="1154">
        <v>15.84</v>
      </c>
    </row>
    <row r="29" spans="3:33">
      <c r="C29" s="1080">
        <v>5</v>
      </c>
      <c r="D29" s="1084"/>
      <c r="E29" s="1153"/>
      <c r="F29" s="1093">
        <f t="shared" si="1"/>
        <v>273000</v>
      </c>
      <c r="G29" s="1075"/>
      <c r="H29" s="1075"/>
      <c r="I29" s="1075"/>
      <c r="J29" s="1075"/>
      <c r="K29" s="1075"/>
      <c r="L29" s="1075"/>
      <c r="M29" s="1075"/>
      <c r="N29" s="1075"/>
      <c r="O29" s="1075"/>
      <c r="P29" s="1075"/>
      <c r="Q29" s="1075"/>
      <c r="R29" s="1075"/>
      <c r="S29" s="1075"/>
      <c r="T29" s="1075"/>
      <c r="AD29" s="1080">
        <v>5</v>
      </c>
      <c r="AE29" s="1084"/>
      <c r="AF29" s="1154"/>
      <c r="AG29" s="1154"/>
    </row>
    <row r="30" spans="3:33">
      <c r="C30" s="1080">
        <v>6</v>
      </c>
      <c r="D30" s="1084"/>
      <c r="E30" s="1153"/>
      <c r="F30" s="1093">
        <f t="shared" si="1"/>
        <v>273000</v>
      </c>
      <c r="G30" s="1075"/>
      <c r="H30" s="1075"/>
      <c r="I30" s="1075"/>
      <c r="J30" s="1075"/>
      <c r="K30" s="1075"/>
      <c r="L30" s="1075"/>
      <c r="M30" s="1075"/>
      <c r="N30" s="1075"/>
      <c r="O30" s="1075"/>
      <c r="P30" s="1075"/>
      <c r="Q30" s="1075"/>
      <c r="R30" s="1075"/>
      <c r="S30" s="1075"/>
      <c r="T30" s="1075"/>
      <c r="AD30" s="1080">
        <v>6</v>
      </c>
      <c r="AE30" s="1084"/>
      <c r="AF30" s="1154"/>
      <c r="AG30" s="1154"/>
    </row>
    <row r="31" spans="3:33">
      <c r="C31" s="1080">
        <v>7</v>
      </c>
      <c r="D31" s="1084"/>
      <c r="E31" s="1153"/>
      <c r="F31" s="1093">
        <f t="shared" si="1"/>
        <v>273000</v>
      </c>
      <c r="G31" s="1075"/>
      <c r="H31" s="1075"/>
      <c r="I31" s="1075"/>
      <c r="J31" s="1075"/>
      <c r="K31" s="1075"/>
      <c r="L31" s="1075"/>
      <c r="M31" s="1075"/>
      <c r="N31" s="1075"/>
      <c r="O31" s="1075"/>
      <c r="P31" s="1075"/>
      <c r="Q31" s="1075"/>
      <c r="R31" s="1075"/>
      <c r="S31" s="1075"/>
      <c r="T31" s="1075"/>
      <c r="AD31" s="1080">
        <v>7</v>
      </c>
      <c r="AE31" s="1084"/>
      <c r="AF31" s="1154"/>
      <c r="AG31" s="1154"/>
    </row>
    <row r="32" spans="3:33">
      <c r="C32" s="1080">
        <v>8</v>
      </c>
      <c r="D32" s="1084"/>
      <c r="E32" s="1153"/>
      <c r="F32" s="1093">
        <f t="shared" si="1"/>
        <v>273000</v>
      </c>
      <c r="G32" s="1075"/>
      <c r="H32" s="1075"/>
      <c r="I32" s="1075"/>
      <c r="J32" s="1075"/>
      <c r="K32" s="1075"/>
      <c r="L32" s="1075"/>
      <c r="M32" s="1075"/>
      <c r="N32" s="1075"/>
      <c r="O32" s="1075"/>
      <c r="P32" s="1075"/>
      <c r="Q32" s="1075"/>
      <c r="R32" s="1075"/>
      <c r="S32" s="1075"/>
      <c r="T32" s="1075"/>
      <c r="AD32" s="1080">
        <v>8</v>
      </c>
      <c r="AE32" s="1084"/>
      <c r="AF32" s="1154"/>
      <c r="AG32" s="1154"/>
    </row>
    <row r="33" spans="3:33">
      <c r="C33" s="1080">
        <v>9</v>
      </c>
      <c r="D33" s="1084"/>
      <c r="E33" s="1153"/>
      <c r="F33" s="1093">
        <f t="shared" si="1"/>
        <v>273000</v>
      </c>
      <c r="G33" s="1075"/>
      <c r="H33" s="1075"/>
      <c r="I33" s="1075"/>
      <c r="J33" s="1075"/>
      <c r="K33" s="1075"/>
      <c r="L33" s="1075"/>
      <c r="M33" s="1075"/>
      <c r="N33" s="1075"/>
      <c r="O33" s="1075"/>
      <c r="P33" s="1075"/>
      <c r="Q33" s="1075"/>
      <c r="R33" s="1075"/>
      <c r="S33" s="1075"/>
      <c r="T33" s="1075"/>
      <c r="AD33" s="1080">
        <v>9</v>
      </c>
      <c r="AE33" s="1084"/>
      <c r="AF33" s="1154"/>
      <c r="AG33" s="1154"/>
    </row>
    <row r="34" spans="3:33">
      <c r="C34" s="1080">
        <v>10</v>
      </c>
      <c r="D34" s="1084"/>
      <c r="E34" s="1153"/>
      <c r="F34" s="1093">
        <f t="shared" si="1"/>
        <v>273000</v>
      </c>
      <c r="G34" s="1075"/>
      <c r="H34" s="1075"/>
      <c r="I34" s="1075"/>
      <c r="J34" s="1075"/>
      <c r="K34" s="1075"/>
      <c r="L34" s="1075"/>
      <c r="M34" s="1075"/>
      <c r="N34" s="1075"/>
      <c r="O34" s="1075"/>
      <c r="P34" s="1075"/>
      <c r="Q34" s="1075"/>
      <c r="R34" s="1075"/>
      <c r="S34" s="1075"/>
      <c r="T34" s="1075"/>
      <c r="AD34" s="1080">
        <v>10</v>
      </c>
      <c r="AE34" s="1084"/>
      <c r="AF34" s="1154"/>
      <c r="AG34" s="1154"/>
    </row>
    <row r="35" spans="3:33">
      <c r="C35" s="1073"/>
      <c r="D35" s="1074"/>
      <c r="E35" s="1074"/>
      <c r="F35" s="1075"/>
      <c r="G35" s="1075"/>
      <c r="H35" s="1075"/>
      <c r="I35" s="1075"/>
      <c r="J35" s="1075"/>
      <c r="K35" s="1075"/>
      <c r="L35" s="1075"/>
      <c r="M35" s="1075"/>
      <c r="N35" s="1075"/>
      <c r="O35" s="1075"/>
      <c r="P35" s="1075"/>
      <c r="Q35" s="1075"/>
      <c r="R35" s="1075"/>
      <c r="S35" s="1075"/>
      <c r="T35" s="1075"/>
    </row>
    <row r="36" spans="3:33">
      <c r="C36" s="1075"/>
      <c r="D36" s="1075"/>
      <c r="E36" s="1075"/>
      <c r="F36" s="1075"/>
      <c r="G36" s="1075"/>
      <c r="H36" s="1075"/>
      <c r="I36" s="1075"/>
      <c r="J36" s="1075"/>
      <c r="K36" s="1075"/>
      <c r="L36" s="1075"/>
      <c r="M36" s="1075"/>
      <c r="N36" s="1075"/>
      <c r="O36" s="1075"/>
      <c r="P36" s="1075"/>
      <c r="Q36" s="1075"/>
      <c r="R36" s="1075"/>
      <c r="S36" s="1075"/>
      <c r="T36" s="1075"/>
    </row>
    <row r="37" spans="3:33">
      <c r="C37" s="1075"/>
      <c r="D37" s="1075"/>
      <c r="E37" s="1075"/>
      <c r="F37" s="1075"/>
      <c r="G37" s="1075"/>
      <c r="H37" s="1075"/>
      <c r="I37" s="1075"/>
      <c r="J37" s="1075"/>
      <c r="K37" s="1075"/>
      <c r="L37" s="1075"/>
      <c r="M37" s="1075"/>
      <c r="N37" s="1075"/>
      <c r="O37" s="1075"/>
      <c r="P37" s="1075"/>
      <c r="Q37" s="1075"/>
      <c r="R37" s="1075"/>
      <c r="S37" s="1075"/>
      <c r="T37" s="1075"/>
    </row>
    <row r="38" spans="3:33">
      <c r="C38" s="1075"/>
      <c r="D38" s="1075"/>
      <c r="E38" s="1075"/>
      <c r="F38" s="1075"/>
      <c r="G38" s="1075"/>
      <c r="H38" s="1075"/>
      <c r="I38" s="1075"/>
      <c r="J38" s="1075"/>
      <c r="K38" s="1075"/>
      <c r="L38" s="1075"/>
      <c r="M38" s="1075"/>
      <c r="N38" s="1075"/>
      <c r="O38" s="1075"/>
      <c r="P38" s="1075"/>
      <c r="Q38" s="1075"/>
      <c r="R38" s="1075"/>
      <c r="S38" s="1075"/>
      <c r="T38" s="1075"/>
    </row>
    <row r="39" spans="3:33">
      <c r="C39" s="1075"/>
      <c r="D39" s="1075"/>
      <c r="E39" s="1075"/>
      <c r="F39" s="1075"/>
      <c r="G39" s="1075"/>
      <c r="H39" s="1075"/>
      <c r="I39" s="1075"/>
      <c r="J39" s="1075"/>
      <c r="K39" s="1075"/>
      <c r="L39" s="1075"/>
      <c r="M39" s="1075"/>
      <c r="N39" s="1075"/>
      <c r="O39" s="1075"/>
      <c r="P39" s="1075"/>
      <c r="Q39" s="1075"/>
      <c r="R39" s="1075"/>
      <c r="S39" s="1075"/>
      <c r="T39" s="1075"/>
    </row>
    <row r="40" spans="3:33">
      <c r="C40" s="1075"/>
      <c r="D40" s="1075"/>
      <c r="E40" s="1075"/>
      <c r="F40" s="1075"/>
      <c r="G40" s="1075"/>
      <c r="H40" s="1075"/>
      <c r="I40" s="1075"/>
      <c r="J40" s="1075"/>
      <c r="K40" s="1075"/>
      <c r="L40" s="1075"/>
      <c r="M40" s="1075"/>
      <c r="N40" s="1075"/>
      <c r="O40" s="1075"/>
      <c r="P40" s="1075"/>
      <c r="Q40" s="1075"/>
      <c r="R40" s="1075"/>
      <c r="S40" s="1075"/>
      <c r="T40" s="1075"/>
    </row>
    <row r="41" spans="3:33">
      <c r="C41" s="1075"/>
      <c r="D41" s="1075"/>
      <c r="E41" s="1075"/>
      <c r="F41" s="1075"/>
      <c r="G41" s="1075"/>
      <c r="H41" s="1075"/>
      <c r="I41" s="1075"/>
      <c r="J41" s="1075"/>
      <c r="K41" s="1075"/>
      <c r="L41" s="1075"/>
      <c r="M41" s="1075"/>
      <c r="N41" s="1075"/>
      <c r="O41" s="1075"/>
      <c r="P41" s="1075"/>
      <c r="Q41" s="1075"/>
      <c r="R41" s="1075"/>
      <c r="S41" s="1075"/>
      <c r="T41" s="1075"/>
    </row>
    <row r="42" spans="3:33">
      <c r="C42" s="1075"/>
      <c r="D42" s="1075"/>
      <c r="E42" s="1075"/>
      <c r="F42" s="1075"/>
      <c r="G42" s="1075"/>
      <c r="H42" s="1075"/>
      <c r="I42" s="1075"/>
      <c r="J42" s="1075"/>
      <c r="K42" s="1075"/>
      <c r="L42" s="1075"/>
      <c r="M42" s="1075"/>
      <c r="N42" s="1075"/>
      <c r="O42" s="1075"/>
      <c r="P42" s="1075"/>
      <c r="Q42" s="1075"/>
      <c r="R42" s="1075"/>
      <c r="S42" s="1075"/>
      <c r="T42" s="1075"/>
    </row>
    <row r="43" spans="3:33">
      <c r="C43" s="1075"/>
      <c r="D43" s="1075"/>
      <c r="E43" s="1075"/>
      <c r="F43" s="1075"/>
      <c r="G43" s="1075"/>
      <c r="H43" s="1075"/>
      <c r="I43" s="1075"/>
      <c r="J43" s="1075"/>
      <c r="K43" s="1075"/>
      <c r="L43" s="1075"/>
      <c r="M43" s="1075"/>
      <c r="N43" s="1075"/>
      <c r="O43" s="1075"/>
      <c r="P43" s="1075"/>
      <c r="Q43" s="1075"/>
      <c r="R43" s="1075"/>
      <c r="S43" s="1075"/>
      <c r="T43" s="1075"/>
    </row>
    <row r="44" spans="3:33">
      <c r="C44" s="1075"/>
      <c r="D44" s="1075"/>
      <c r="E44" s="1075"/>
      <c r="F44" s="1075"/>
      <c r="G44" s="1075"/>
      <c r="H44" s="1075"/>
      <c r="I44" s="1075"/>
      <c r="J44" s="1075"/>
      <c r="K44" s="1075"/>
      <c r="L44" s="1075"/>
      <c r="M44" s="1075"/>
      <c r="N44" s="1075"/>
      <c r="O44" s="1075"/>
      <c r="P44" s="1075"/>
      <c r="Q44" s="1075"/>
      <c r="R44" s="1075"/>
      <c r="S44" s="1075"/>
      <c r="T44" s="1075"/>
    </row>
    <row r="45" spans="3:33">
      <c r="C45" s="1075"/>
      <c r="D45" s="1075"/>
      <c r="E45" s="1075"/>
      <c r="F45" s="1075"/>
      <c r="G45" s="1075"/>
      <c r="H45" s="1075"/>
      <c r="I45" s="1075"/>
      <c r="J45" s="1075"/>
      <c r="K45" s="1075"/>
      <c r="L45" s="1075"/>
      <c r="M45" s="1075"/>
      <c r="N45" s="1075"/>
      <c r="O45" s="1075"/>
      <c r="P45" s="1075"/>
      <c r="Q45" s="1075"/>
      <c r="R45" s="1075"/>
      <c r="S45" s="1075"/>
      <c r="T45" s="1075"/>
    </row>
    <row r="46" spans="3:33">
      <c r="C46" s="1075"/>
      <c r="D46" s="1075"/>
      <c r="E46" s="1075"/>
      <c r="F46" s="1075"/>
      <c r="G46" s="1075"/>
      <c r="H46" s="1075"/>
      <c r="I46" s="1075"/>
      <c r="J46" s="1075"/>
      <c r="K46" s="1075"/>
      <c r="L46" s="1075"/>
      <c r="M46" s="1075"/>
      <c r="N46" s="1075"/>
      <c r="O46" s="1075"/>
      <c r="P46" s="1075"/>
      <c r="Q46" s="1075"/>
      <c r="R46" s="1075"/>
      <c r="S46" s="1075"/>
      <c r="T46" s="1075"/>
    </row>
    <row r="47" spans="3:33">
      <c r="C47" s="1075"/>
      <c r="D47" s="1075"/>
      <c r="E47" s="1075"/>
      <c r="F47" s="1075"/>
      <c r="G47" s="1075"/>
      <c r="H47" s="1075"/>
      <c r="I47" s="1075"/>
      <c r="J47" s="1075"/>
      <c r="K47" s="1075"/>
      <c r="L47" s="1075"/>
      <c r="M47" s="1075"/>
      <c r="N47" s="1075"/>
      <c r="O47" s="1075"/>
      <c r="P47" s="1075"/>
      <c r="Q47" s="1075"/>
      <c r="R47" s="1075"/>
      <c r="S47" s="1075"/>
      <c r="T47" s="1075"/>
    </row>
    <row r="48" spans="3:33">
      <c r="C48" s="1075"/>
      <c r="D48" s="1075"/>
      <c r="E48" s="1075"/>
      <c r="F48" s="1075"/>
      <c r="G48" s="1075"/>
      <c r="H48" s="1075"/>
      <c r="I48" s="1075"/>
      <c r="J48" s="1075"/>
      <c r="K48" s="1075"/>
      <c r="L48" s="1075"/>
      <c r="M48" s="1075"/>
      <c r="N48" s="1075"/>
      <c r="O48" s="1075"/>
      <c r="P48" s="1075"/>
      <c r="Q48" s="1075"/>
      <c r="R48" s="1075"/>
      <c r="S48" s="1075"/>
      <c r="T48" s="1075"/>
    </row>
  </sheetData>
  <printOptions horizontalCentered="1"/>
  <pageMargins left="0" right="0" top="1.75" bottom="0.5" header="0" footer="0"/>
  <pageSetup scale="60" fitToHeight="0" orientation="landscape" cellComments="atEnd" r:id="rId1"/>
  <customProperties>
    <customPr name="GU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405f326b8084902bf00ac75e6b15a46 xmlns="04f97eb2-6e56-4bba-b31e-e07ee6f0c02e">
      <Terms xmlns="http://schemas.microsoft.com/office/infopath/2007/PartnerControls">
        <TermInfo xmlns="http://schemas.microsoft.com/office/infopath/2007/PartnerControls">
          <TermName xmlns="http://schemas.microsoft.com/office/infopath/2007/PartnerControls">MNet Launch</TermName>
          <TermId xmlns="http://schemas.microsoft.com/office/infopath/2007/PartnerControls">ee0e51d8-7786-4b1b-b616-4011b85a20e7</TermId>
        </TermInfo>
      </Terms>
    </a405f326b8084902bf00ac75e6b15a46>
    <g44f9289345a459b943297baf26657e6 xmlns="04f97eb2-6e56-4bba-b31e-e07ee6f0c02e">
      <Terms xmlns="http://schemas.microsoft.com/office/infopath/2007/PartnerControls">
        <TermInfo xmlns="http://schemas.microsoft.com/office/infopath/2007/PartnerControls">
          <TermName xmlns="http://schemas.microsoft.com/office/infopath/2007/PartnerControls">Learning Center</TermName>
          <TermId xmlns="http://schemas.microsoft.com/office/infopath/2007/PartnerControls">5a5e217e-30c2-4653-8bd1-e1c853fb8eb4</TermId>
        </TermInfo>
        <TermInfo xmlns="http://schemas.microsoft.com/office/infopath/2007/PartnerControls">
          <TermName xmlns="http://schemas.microsoft.com/office/infopath/2007/PartnerControls">Operations</TermName>
          <TermId xmlns="http://schemas.microsoft.com/office/infopath/2007/PartnerControls">3d1b5732-3c9c-49bf-8b0f-b275099f00dc</TermId>
        </TermInfo>
        <TermInfo xmlns="http://schemas.microsoft.com/office/infopath/2007/PartnerControls">
          <TermName xmlns="http://schemas.microsoft.com/office/infopath/2007/PartnerControls">Information Services</TermName>
          <TermId xmlns="http://schemas.microsoft.com/office/infopath/2007/PartnerControls">276f9b47-ffdc-4130-9a70-586484660ba0</TermId>
        </TermInfo>
      </Terms>
    </g44f9289345a459b943297baf26657e6>
    <TaxCatchAll xmlns="04f97eb2-6e56-4bba-b31e-e07ee6f0c02e">
      <Value>31</Value>
      <Value>14</Value>
      <Value>11</Value>
      <Value>26</Value>
      <Value>7</Value>
      <Value>9</Value>
      <Value>276</Value>
      <Value>102</Value>
    </TaxCatchAll>
    <g5e79f37bf1841a0a0c2b7d634ff0fda xmlns="04f97eb2-6e56-4bba-b31e-e07ee6f0c02e">
      <Terms xmlns="http://schemas.microsoft.com/office/infopath/2007/PartnerControls">
        <TermInfo xmlns="http://schemas.microsoft.com/office/infopath/2007/PartnerControls">
          <TermName xmlns="http://schemas.microsoft.com/office/infopath/2007/PartnerControls">REIS</TermName>
          <TermId xmlns="http://schemas.microsoft.com/office/infopath/2007/PartnerControls">e4d5d859-f200-4831-a32a-e3d4639f48d4</TermId>
        </TermInfo>
      </Terms>
    </g5e79f37bf1841a0a0c2b7d634ff0fda>
    <d9e8fcfd511642498aa75b44a1f32bd4 xmlns="04f97eb2-6e56-4bba-b31e-e07ee6f0c02e">
      <Terms xmlns="http://schemas.microsoft.com/office/infopath/2007/PartnerControls">
        <TermInfo xmlns="http://schemas.microsoft.com/office/infopath/2007/PartnerControls">
          <TermName xmlns="http://schemas.microsoft.com/office/infopath/2007/PartnerControls">Guide</TermName>
          <TermId xmlns="http://schemas.microsoft.com/office/infopath/2007/PartnerControls">92fb98be-be94-42e8-bfdd-ff521f4b575f</TermId>
        </TermInfo>
        <TermInfo xmlns="http://schemas.microsoft.com/office/infopath/2007/PartnerControls">
          <TermName xmlns="http://schemas.microsoft.com/office/infopath/2007/PartnerControls">Job Aid</TermName>
          <TermId xmlns="http://schemas.microsoft.com/office/infopath/2007/PartnerControls">93e5bbd0-57ab-431e-ace9-9d30f8dd8b64</TermId>
        </TermInfo>
        <TermInfo xmlns="http://schemas.microsoft.com/office/infopath/2007/PartnerControls">
          <TermName xmlns="http://schemas.microsoft.com/office/infopath/2007/PartnerControls">Training</TermName>
          <TermId xmlns="http://schemas.microsoft.com/office/infopath/2007/PartnerControls">02ff57f5-c658-49d3-aaa9-026f253772c0</TermId>
        </TermInfo>
      </Terms>
    </d9e8fcfd511642498aa75b44a1f32bd4>
    <cc189e281f494860a464c26a4e3d4b36 xmlns="04f97eb2-6e56-4bba-b31e-e07ee6f0c02e">
      <Terms xmlns="http://schemas.microsoft.com/office/infopath/2007/PartnerControls"/>
    </cc189e281f494860a464c26a4e3d4b36>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epartment Document" ma:contentTypeID="0x0101008172F55FBD02A948A3CD7BAA43A863AC00D1B4CF5C2331DC46ADFD00B45C812964" ma:contentTypeVersion="15" ma:contentTypeDescription="" ma:contentTypeScope="" ma:versionID="14c13dc427d4be7baad53453ca31d0df">
  <xsd:schema xmlns:xsd="http://www.w3.org/2001/XMLSchema" xmlns:xs="http://www.w3.org/2001/XMLSchema" xmlns:p="http://schemas.microsoft.com/office/2006/metadata/properties" xmlns:ns2="04f97eb2-6e56-4bba-b31e-e07ee6f0c02e" xmlns:ns3="90b912d4-8e88-4936-9f67-8344c3652cae" targetNamespace="http://schemas.microsoft.com/office/2006/metadata/properties" ma:root="true" ma:fieldsID="b7d263d89217f4c71793e2c254bf1f06" ns2:_="" ns3:_="">
    <xsd:import namespace="04f97eb2-6e56-4bba-b31e-e07ee6f0c02e"/>
    <xsd:import namespace="90b912d4-8e88-4936-9f67-8344c3652cae"/>
    <xsd:element name="properties">
      <xsd:complexType>
        <xsd:sequence>
          <xsd:element name="documentManagement">
            <xsd:complexType>
              <xsd:all>
                <xsd:element ref="ns2:d9e8fcfd511642498aa75b44a1f32bd4" minOccurs="0"/>
                <xsd:element ref="ns2:TaxCatchAll" minOccurs="0"/>
                <xsd:element ref="ns2:TaxCatchAllLabel" minOccurs="0"/>
                <xsd:element ref="ns2:a405f326b8084902bf00ac75e6b15a46" minOccurs="0"/>
                <xsd:element ref="ns2:g44f9289345a459b943297baf26657e6" minOccurs="0"/>
                <xsd:element ref="ns2:cc189e281f494860a464c26a4e3d4b36" minOccurs="0"/>
                <xsd:element ref="ns2:g5e79f37bf1841a0a0c2b7d634ff0fda" minOccurs="0"/>
                <xsd:element ref="ns3:MediaServiceMetadata" minOccurs="0"/>
                <xsd:element ref="ns3:MediaServiceFastMetadata" minOccurs="0"/>
                <xsd:element ref="ns2:SharedWithUsers" minOccurs="0"/>
                <xsd:element ref="ns2:SharedWithDetail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f97eb2-6e56-4bba-b31e-e07ee6f0c02e" elementFormDefault="qualified">
    <xsd:import namespace="http://schemas.microsoft.com/office/2006/documentManagement/types"/>
    <xsd:import namespace="http://schemas.microsoft.com/office/infopath/2007/PartnerControls"/>
    <xsd:element name="d9e8fcfd511642498aa75b44a1f32bd4" ma:index="9" nillable="true" ma:taxonomy="true" ma:internalName="d9e8fcfd511642498aa75b44a1f32bd4" ma:taxonomyFieldName="Document_x0020_Type" ma:displayName="Document Type" ma:default="" ma:fieldId="{d9e8fcfd-5116-4249-8aa7-5b44a1f32bd4}" ma:taxonomyMulti="true" ma:sspId="7ac0a7a4-d698-44b8-9281-d884ca73278a" ma:termSetId="d6c86a68-feda-4f95-90e5-ba3353451b61"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e25fdd8f-cf8c-4116-85dd-aa5754e8d3fe}" ma:internalName="TaxCatchAll" ma:showField="CatchAllData" ma:web="04f97eb2-6e56-4bba-b31e-e07ee6f0c02e">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e25fdd8f-cf8c-4116-85dd-aa5754e8d3fe}" ma:internalName="TaxCatchAllLabel" ma:readOnly="true" ma:showField="CatchAllDataLabel" ma:web="04f97eb2-6e56-4bba-b31e-e07ee6f0c02e">
      <xsd:complexType>
        <xsd:complexContent>
          <xsd:extension base="dms:MultiChoiceLookup">
            <xsd:sequence>
              <xsd:element name="Value" type="dms:Lookup" maxOccurs="unbounded" minOccurs="0" nillable="true"/>
            </xsd:sequence>
          </xsd:extension>
        </xsd:complexContent>
      </xsd:complexType>
    </xsd:element>
    <xsd:element name="a405f326b8084902bf00ac75e6b15a46" ma:index="13" nillable="true" ma:taxonomy="true" ma:internalName="a405f326b8084902bf00ac75e6b15a46" ma:taxonomyFieldName="Application" ma:displayName="Application" ma:default="" ma:fieldId="{a405f326-b808-4902-bf00-ac75e6b15a46}" ma:taxonomyMulti="true" ma:sspId="7ac0a7a4-d698-44b8-9281-d884ca73278a" ma:termSetId="151dd689-2cd4-4812-a1aa-ea74283b52bf" ma:anchorId="00000000-0000-0000-0000-000000000000" ma:open="false" ma:isKeyword="false">
      <xsd:complexType>
        <xsd:sequence>
          <xsd:element ref="pc:Terms" minOccurs="0" maxOccurs="1"/>
        </xsd:sequence>
      </xsd:complexType>
    </xsd:element>
    <xsd:element name="g44f9289345a459b943297baf26657e6" ma:index="15" nillable="true" ma:taxonomy="true" ma:internalName="g44f9289345a459b943297baf26657e6" ma:taxonomyFieldName="Department1" ma:displayName="Department" ma:default="" ma:fieldId="{044f9289-345a-459b-9432-97baf26657e6}" ma:taxonomyMulti="true" ma:sspId="7ac0a7a4-d698-44b8-9281-d884ca73278a" ma:termSetId="5f24991a-4486-4f93-ae89-e684ed2d6a33" ma:anchorId="00000000-0000-0000-0000-000000000000" ma:open="false" ma:isKeyword="false">
      <xsd:complexType>
        <xsd:sequence>
          <xsd:element ref="pc:Terms" minOccurs="0" maxOccurs="1"/>
        </xsd:sequence>
      </xsd:complexType>
    </xsd:element>
    <xsd:element name="cc189e281f494860a464c26a4e3d4b36" ma:index="17" nillable="true" ma:taxonomy="true" ma:internalName="cc189e281f494860a464c26a4e3d4b36" ma:taxonomyFieldName="Product_x0020_Type" ma:displayName="Product Type" ma:default="" ma:fieldId="{cc189e28-1f49-4860-a464-c26a4e3d4b36}" ma:taxonomyMulti="true" ma:sspId="7ac0a7a4-d698-44b8-9281-d884ca73278a" ma:termSetId="f775f20a-861b-4776-88be-d2d355e17e01" ma:anchorId="00000000-0000-0000-0000-000000000000" ma:open="false" ma:isKeyword="false">
      <xsd:complexType>
        <xsd:sequence>
          <xsd:element ref="pc:Terms" minOccurs="0" maxOccurs="1"/>
        </xsd:sequence>
      </xsd:complexType>
    </xsd:element>
    <xsd:element name="g5e79f37bf1841a0a0c2b7d634ff0fda" ma:index="19" nillable="true" ma:taxonomy="true" ma:internalName="g5e79f37bf1841a0a0c2b7d634ff0fda" ma:taxonomyFieldName="Business_x0020_Unit" ma:displayName="Business Unit" ma:default="" ma:fieldId="{05e79f37-bf18-41a0-a0c2-b7d634ff0fda}" ma:taxonomyMulti="true" ma:sspId="7ac0a7a4-d698-44b8-9281-d884ca73278a" ma:termSetId="8e26c43a-36af-4661-baa5-f7bf8b1d1c83" ma:anchorId="00000000-0000-0000-0000-000000000000" ma:open="false" ma:isKeyword="false">
      <xsd:complexType>
        <xsd:sequence>
          <xsd:element ref="pc:Terms" minOccurs="0" maxOccurs="1"/>
        </xsd:sequence>
      </xsd:complexType>
    </xsd:element>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0b912d4-8e88-4936-9f67-8344c3652cae"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ma:index="8" ma:displayName="Comments"/>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294D2F6-8038-4A40-BD7D-BCF5A1A6B299}">
  <ds:schemaRefs>
    <ds:schemaRef ds:uri="http://schemas.microsoft.com/office/2006/metadata/properties"/>
    <ds:schemaRef ds:uri="http://schemas.microsoft.com/office/infopath/2007/PartnerControls"/>
    <ds:schemaRef ds:uri="04f97eb2-6e56-4bba-b31e-e07ee6f0c02e"/>
  </ds:schemaRefs>
</ds:datastoreItem>
</file>

<file path=customXml/itemProps2.xml><?xml version="1.0" encoding="utf-8"?>
<ds:datastoreItem xmlns:ds="http://schemas.openxmlformats.org/officeDocument/2006/customXml" ds:itemID="{40BDE714-34C0-412E-999B-92C0EF0CC101}">
  <ds:schemaRefs>
    <ds:schemaRef ds:uri="http://schemas.microsoft.com/sharepoint/v3/contenttype/forms"/>
  </ds:schemaRefs>
</ds:datastoreItem>
</file>

<file path=customXml/itemProps3.xml><?xml version="1.0" encoding="utf-8"?>
<ds:datastoreItem xmlns:ds="http://schemas.openxmlformats.org/officeDocument/2006/customXml" ds:itemID="{B20DEF1D-9364-4484-8989-57E4B0FADA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f97eb2-6e56-4bba-b31e-e07ee6f0c02e"/>
    <ds:schemaRef ds:uri="90b912d4-8e88-4936-9f67-8344c3652c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270</vt:i4>
      </vt:variant>
    </vt:vector>
  </HeadingPairs>
  <TitlesOfParts>
    <vt:vector size="290" baseType="lpstr">
      <vt:lpstr>Data</vt:lpstr>
      <vt:lpstr>InDesign</vt:lpstr>
      <vt:lpstr>Import</vt:lpstr>
      <vt:lpstr>Rent Roll Detail</vt:lpstr>
      <vt:lpstr>Rent Roll Summary</vt:lpstr>
      <vt:lpstr>Operating Statement</vt:lpstr>
      <vt:lpstr>Notes</vt:lpstr>
      <vt:lpstr>Pricing Detail</vt:lpstr>
      <vt:lpstr>Introduction</vt:lpstr>
      <vt:lpstr>Input</vt:lpstr>
      <vt:lpstr>Rent Roll Detail Input</vt:lpstr>
      <vt:lpstr>Sheet1</vt:lpstr>
      <vt:lpstr>Debt</vt:lpstr>
      <vt:lpstr>Rent Roll Summary Summary</vt:lpstr>
      <vt:lpstr>Rent Roll Detail Summary</vt:lpstr>
      <vt:lpstr>Chart Data</vt:lpstr>
      <vt:lpstr>Proposal Price</vt:lpstr>
      <vt:lpstr>Equity Returns Options</vt:lpstr>
      <vt:lpstr>Equity Returns Chart</vt:lpstr>
      <vt:lpstr>Comps Charts</vt:lpstr>
      <vt:lpstr>acquisition_cost</vt:lpstr>
      <vt:lpstr>adr</vt:lpstr>
      <vt:lpstr>adr_pro_forma</vt:lpstr>
      <vt:lpstr>AverageUnitRentTable</vt:lpstr>
      <vt:lpstr>buildable_sq_ft</vt:lpstr>
      <vt:lpstr>buildable_units</vt:lpstr>
      <vt:lpstr>cap_over_lease</vt:lpstr>
      <vt:lpstr>cap_rate</vt:lpstr>
      <vt:lpstr>cap_rate_pro_forma</vt:lpstr>
      <vt:lpstr>Cap1Cell</vt:lpstr>
      <vt:lpstr>Cap2Cell</vt:lpstr>
      <vt:lpstr>cash_on_cash</vt:lpstr>
      <vt:lpstr>cash_on_cash_pro_forma</vt:lpstr>
      <vt:lpstr>cash_on_cash_pro_forma\</vt:lpstr>
      <vt:lpstr>CashFlowScenariosChart</vt:lpstr>
      <vt:lpstr>CashFlowStart</vt:lpstr>
      <vt:lpstr>CashFlowTable</vt:lpstr>
      <vt:lpstr>DateOfAnalysis</vt:lpstr>
      <vt:lpstr>ddl_EROStart</vt:lpstr>
      <vt:lpstr>ddl_HExist</vt:lpstr>
      <vt:lpstr>ddl_RExist</vt:lpstr>
      <vt:lpstr>ddl_SEExist</vt:lpstr>
      <vt:lpstr>ddl_SExist</vt:lpstr>
      <vt:lpstr>DDL_UnitLookup</vt:lpstr>
      <vt:lpstr>debt_service</vt:lpstr>
      <vt:lpstr>debt_service_pro_forma</vt:lpstr>
      <vt:lpstr>density</vt:lpstr>
      <vt:lpstr>development_type</vt:lpstr>
      <vt:lpstr>down_payment</vt:lpstr>
      <vt:lpstr>DownCell</vt:lpstr>
      <vt:lpstr>DownPctCell</vt:lpstr>
      <vt:lpstr>EquityReturnOptionsTable</vt:lpstr>
      <vt:lpstr>ERO_DataStart</vt:lpstr>
      <vt:lpstr>ERO_H</vt:lpstr>
      <vt:lpstr>ERO_Headings</vt:lpstr>
      <vt:lpstr>ERO_Off1</vt:lpstr>
      <vt:lpstr>ERO_Off2</vt:lpstr>
      <vt:lpstr>ERO_Off3</vt:lpstr>
      <vt:lpstr>ERO_Off4</vt:lpstr>
      <vt:lpstr>ERO_R</vt:lpstr>
      <vt:lpstr>ERO_S</vt:lpstr>
      <vt:lpstr>ERO_SaleStart</vt:lpstr>
      <vt:lpstr>ERO_SE</vt:lpstr>
      <vt:lpstr>ERO_Start</vt:lpstr>
      <vt:lpstr>ERO_TotalOps</vt:lpstr>
      <vt:lpstr>ExistingAmortization</vt:lpstr>
      <vt:lpstr>ExistingDueDate</vt:lpstr>
      <vt:lpstr>ExistingInterestRate</vt:lpstr>
      <vt:lpstr>ExistingLenderName</vt:lpstr>
      <vt:lpstr>ExistingLoanAmount</vt:lpstr>
      <vt:lpstr>ExistingLoanType</vt:lpstr>
      <vt:lpstr>ExistingMonthlyPayment</vt:lpstr>
      <vt:lpstr>ExistingPrepaymentPenalty</vt:lpstr>
      <vt:lpstr>ExistingTerm</vt:lpstr>
      <vt:lpstr>exp_reimbursement</vt:lpstr>
      <vt:lpstr>exp_reimbursement_pro_forma</vt:lpstr>
      <vt:lpstr>ExpensesDataTable</vt:lpstr>
      <vt:lpstr>FirstRentShownCell</vt:lpstr>
      <vt:lpstr>floor_area_ratio</vt:lpstr>
      <vt:lpstr>franchise_fee</vt:lpstr>
      <vt:lpstr>GR_EVBadDebt</vt:lpstr>
      <vt:lpstr>GR_EVConcession</vt:lpstr>
      <vt:lpstr>GR_EVNonRev</vt:lpstr>
      <vt:lpstr>GR_Insurance</vt:lpstr>
      <vt:lpstr>GR_OpExp</vt:lpstr>
      <vt:lpstr>GR_OtherIncome</vt:lpstr>
      <vt:lpstr>GR_PV</vt:lpstr>
      <vt:lpstr>GR_RE</vt:lpstr>
      <vt:lpstr>GR_Utilities</vt:lpstr>
      <vt:lpstr>GRM1Cell</vt:lpstr>
      <vt:lpstr>GRM2Cell</vt:lpstr>
      <vt:lpstr>gross_scheduled_income</vt:lpstr>
      <vt:lpstr>gross_scheduled_income_pro_forma</vt:lpstr>
      <vt:lpstr>GrowthRateProjectionsTable</vt:lpstr>
      <vt:lpstr>guarantor</vt:lpstr>
      <vt:lpstr>home_inventory_cost</vt:lpstr>
      <vt:lpstr>home_rent</vt:lpstr>
      <vt:lpstr>home_rent_pro_forma</vt:lpstr>
      <vt:lpstr>IncomeDataTable</vt:lpstr>
      <vt:lpstr>InD_CashFlowTable</vt:lpstr>
      <vt:lpstr>InD_DebtCashTable</vt:lpstr>
      <vt:lpstr>InD_DebtFinTable</vt:lpstr>
      <vt:lpstr>InD_EquityOptionsTable</vt:lpstr>
      <vt:lpstr>InD_GrowthTable</vt:lpstr>
      <vt:lpstr>InD_InputCapEx</vt:lpstr>
      <vt:lpstr>InD_InputTable</vt:lpstr>
      <vt:lpstr>InD_NotesTable</vt:lpstr>
      <vt:lpstr>InD_OpStateTable</vt:lpstr>
      <vt:lpstr>InD_PricingDetailOperating</vt:lpstr>
      <vt:lpstr>InD_PricingDetailSummary</vt:lpstr>
      <vt:lpstr>InD_ProposalPriceMarket</vt:lpstr>
      <vt:lpstr>InD_ProposalPriceProperty</vt:lpstr>
      <vt:lpstr>InD_ProposalPriceSum</vt:lpstr>
      <vt:lpstr>InD_RentRollDetailTable</vt:lpstr>
      <vt:lpstr>InD_RentRollSumTable</vt:lpstr>
      <vt:lpstr>Input_DataTable</vt:lpstr>
      <vt:lpstr>InputEAmort</vt:lpstr>
      <vt:lpstr>InputEInterest</vt:lpstr>
      <vt:lpstr>InputELender</vt:lpstr>
      <vt:lpstr>InputELoanBal</vt:lpstr>
      <vt:lpstr>InputEOrigDate</vt:lpstr>
      <vt:lpstr>InputEOrigLoanAmt</vt:lpstr>
      <vt:lpstr>InputEPMT</vt:lpstr>
      <vt:lpstr>InputETerm</vt:lpstr>
      <vt:lpstr>lease_end</vt:lpstr>
      <vt:lpstr>lease_term</vt:lpstr>
      <vt:lpstr>lease_type</vt:lpstr>
      <vt:lpstr>leasing_commissions</vt:lpstr>
      <vt:lpstr>leasing_commissions_pro_forma</vt:lpstr>
      <vt:lpstr>loan_type</vt:lpstr>
      <vt:lpstr>Loan1</vt:lpstr>
      <vt:lpstr>Loan2</vt:lpstr>
      <vt:lpstr>Loan3</vt:lpstr>
      <vt:lpstr>LotSizeCell</vt:lpstr>
      <vt:lpstr>ModeledAmortizationPeriod</vt:lpstr>
      <vt:lpstr>ModeledAmortizationPeriod2</vt:lpstr>
      <vt:lpstr>ModeledAnnualDebtServicePayment</vt:lpstr>
      <vt:lpstr>ModeledAnnualDebtServicePayment2</vt:lpstr>
      <vt:lpstr>ModeledDebtServiceRatio</vt:lpstr>
      <vt:lpstr>ModeledInterestRate</vt:lpstr>
      <vt:lpstr>ModeledInterestRate2</vt:lpstr>
      <vt:lpstr>ModeledLoanAmount</vt:lpstr>
      <vt:lpstr>ModeledLoanAmount2</vt:lpstr>
      <vt:lpstr>ModeledLoanToPurchaseRatio</vt:lpstr>
      <vt:lpstr>ModeledLoanToPurchaseRatio2</vt:lpstr>
      <vt:lpstr>ModeledProposedExisting</vt:lpstr>
      <vt:lpstr>ModeledProposedExisting2</vt:lpstr>
      <vt:lpstr>ModeledTerm</vt:lpstr>
      <vt:lpstr>ModeledTerm2</vt:lpstr>
      <vt:lpstr>NCFADS1Cell</vt:lpstr>
      <vt:lpstr>NCFADS1PctCell</vt:lpstr>
      <vt:lpstr>NCFADS2Cell</vt:lpstr>
      <vt:lpstr>NCFADS2PctCell</vt:lpstr>
      <vt:lpstr>net_operating_income</vt:lpstr>
      <vt:lpstr>net_operating_income_pro_forma</vt:lpstr>
      <vt:lpstr>NOI2Cell</vt:lpstr>
      <vt:lpstr>NOICell</vt:lpstr>
      <vt:lpstr>NOIPerSFCell</vt:lpstr>
      <vt:lpstr>NotesTable</vt:lpstr>
      <vt:lpstr>number_of_lots</vt:lpstr>
      <vt:lpstr>OccupancyPct</vt:lpstr>
      <vt:lpstr>OccupancyPctYear1</vt:lpstr>
      <vt:lpstr>ODLabel1Cell</vt:lpstr>
      <vt:lpstr>ODLabel2Cell</vt:lpstr>
      <vt:lpstr>operating_expenses</vt:lpstr>
      <vt:lpstr>operating_expenses_pro_forma</vt:lpstr>
      <vt:lpstr>OperatingStatementTable</vt:lpstr>
      <vt:lpstr>OS_Curr</vt:lpstr>
      <vt:lpstr>OS_Reno</vt:lpstr>
      <vt:lpstr>OS_TaxRate</vt:lpstr>
      <vt:lpstr>OS_VAllow</vt:lpstr>
      <vt:lpstr>OS_YrsHist</vt:lpstr>
      <vt:lpstr>other_income</vt:lpstr>
      <vt:lpstr>other_income_pro_forma</vt:lpstr>
      <vt:lpstr>OwnershipTypeCell</vt:lpstr>
      <vt:lpstr>PD_Reno</vt:lpstr>
      <vt:lpstr>pip</vt:lpstr>
      <vt:lpstr>PP_DispIncr</vt:lpstr>
      <vt:lpstr>PP_Increments</vt:lpstr>
      <vt:lpstr>PPIRR_DispIncr</vt:lpstr>
      <vt:lpstr>PPIRR_Increments</vt:lpstr>
      <vt:lpstr>PPIRRU_DispIncr</vt:lpstr>
      <vt:lpstr>PPIRRU_Increments</vt:lpstr>
      <vt:lpstr>Price</vt:lpstr>
      <vt:lpstr>PriceCell</vt:lpstr>
      <vt:lpstr>Priced</vt:lpstr>
      <vt:lpstr>PricePerSFCell</vt:lpstr>
      <vt:lpstr>PricePerUnitCell</vt:lpstr>
      <vt:lpstr>PricingDetailsTable</vt:lpstr>
      <vt:lpstr>PrimaryLoan</vt:lpstr>
      <vt:lpstr>principal_reduction_pro_forma</vt:lpstr>
      <vt:lpstr>principal_reduction_yr_1</vt:lpstr>
      <vt:lpstr>'Cash Flow'!Print_Area</vt:lpstr>
      <vt:lpstr>'Comps Charts'!Print_Area</vt:lpstr>
      <vt:lpstr>Debt!Print_Area</vt:lpstr>
      <vt:lpstr>'Equity Returns Chart'!Print_Area</vt:lpstr>
      <vt:lpstr>'Equity Returns Options'!Print_Area</vt:lpstr>
      <vt:lpstr>'Growth Rates'!Print_Area</vt:lpstr>
      <vt:lpstr>Input!Print_Area</vt:lpstr>
      <vt:lpstr>Introduction!Print_Area</vt:lpstr>
      <vt:lpstr>Notes!Print_Area</vt:lpstr>
      <vt:lpstr>'Operating Statement'!Print_Area</vt:lpstr>
      <vt:lpstr>'Pricing Detail'!Print_Area</vt:lpstr>
      <vt:lpstr>'Pricing Detail (UP)'!Print_Area</vt:lpstr>
      <vt:lpstr>'Proposal Price'!Print_Area</vt:lpstr>
      <vt:lpstr>'Proposal Price IRR'!Print_Area</vt:lpstr>
      <vt:lpstr>'Proposal Price IRR Unlevered'!Print_Area</vt:lpstr>
      <vt:lpstr>'Rent Roll Detail'!Print_Area</vt:lpstr>
      <vt:lpstr>'Rent Roll Detail Input'!Print_Area</vt:lpstr>
      <vt:lpstr>'Rent Roll Summary'!Print_Area</vt:lpstr>
      <vt:lpstr>'Rent Roll Summary Input'!Print_Area</vt:lpstr>
      <vt:lpstr>ProposalPriceIRRTable</vt:lpstr>
      <vt:lpstr>ProposalPriceTable</vt:lpstr>
      <vt:lpstr>PropPriceLoan</vt:lpstr>
      <vt:lpstr>RenoSwitch</vt:lpstr>
      <vt:lpstr>Rent_Roll_Detail_Start_Print</vt:lpstr>
      <vt:lpstr>RentMult</vt:lpstr>
      <vt:lpstr>RentRollDetailTable</vt:lpstr>
      <vt:lpstr>RentRollPgBreak</vt:lpstr>
      <vt:lpstr>RentRollSummaryTable</vt:lpstr>
      <vt:lpstr>RentsShown</vt:lpstr>
      <vt:lpstr>RentsShownD</vt:lpstr>
      <vt:lpstr>RentTimePeriod</vt:lpstr>
      <vt:lpstr>ReturnOnEquityScenariosChart</vt:lpstr>
      <vt:lpstr>revpar</vt:lpstr>
      <vt:lpstr>revpar_pro_forma</vt:lpstr>
      <vt:lpstr>RI_Reno</vt:lpstr>
      <vt:lpstr>RRD_Print</vt:lpstr>
      <vt:lpstr>RRD_SF</vt:lpstr>
      <vt:lpstr>RRD_Start</vt:lpstr>
      <vt:lpstr>RRD_TotalGross</vt:lpstr>
      <vt:lpstr>RRD_UnitSize</vt:lpstr>
      <vt:lpstr>RRDI_SFCount</vt:lpstr>
      <vt:lpstr>RRI_Potential</vt:lpstr>
      <vt:lpstr>RRI_Reno</vt:lpstr>
      <vt:lpstr>RRI_SF</vt:lpstr>
      <vt:lpstr>RRI_SubUnit</vt:lpstr>
      <vt:lpstr>RRI_TotalCurRent</vt:lpstr>
      <vt:lpstr>rrm</vt:lpstr>
      <vt:lpstr>rrm_pro_forma</vt:lpstr>
      <vt:lpstr>RRS_DayNum</vt:lpstr>
      <vt:lpstr>RRS_Print</vt:lpstr>
      <vt:lpstr>RRS_Reno</vt:lpstr>
      <vt:lpstr>RRS_RentRange</vt:lpstr>
      <vt:lpstr>RRSI_Reno</vt:lpstr>
      <vt:lpstr>sale_leaseback</vt:lpstr>
      <vt:lpstr>sale_price</vt:lpstr>
      <vt:lpstr>SellerCompounding</vt:lpstr>
      <vt:lpstr>SummaryReno</vt:lpstr>
      <vt:lpstr>SwitchAcqMethod</vt:lpstr>
      <vt:lpstr>SwitchCapEx</vt:lpstr>
      <vt:lpstr>SwitchCompound</vt:lpstr>
      <vt:lpstr>SwitchExistingDebt</vt:lpstr>
      <vt:lpstr>SwitchIRRCalc</vt:lpstr>
      <vt:lpstr>SwitchLossToLease</vt:lpstr>
      <vt:lpstr>SwitchMezz</vt:lpstr>
      <vt:lpstr>SwitchRefi</vt:lpstr>
      <vt:lpstr>SwitchRentRollType</vt:lpstr>
      <vt:lpstr>SwitchRETax</vt:lpstr>
      <vt:lpstr>tenant</vt:lpstr>
      <vt:lpstr>tenant_improvements</vt:lpstr>
      <vt:lpstr>tenant_improvements_pro_forma</vt:lpstr>
      <vt:lpstr>tenant_mix</vt:lpstr>
      <vt:lpstr>tenant_type</vt:lpstr>
      <vt:lpstr>total_return</vt:lpstr>
      <vt:lpstr>total_return_pro_forma</vt:lpstr>
      <vt:lpstr>TotalCurrentMonthlyIncomeCell</vt:lpstr>
      <vt:lpstr>TotalGrossSFCell</vt:lpstr>
      <vt:lpstr>TotalPotentialMonthlyIncomeCell</vt:lpstr>
      <vt:lpstr>TotalRentableSFCell</vt:lpstr>
      <vt:lpstr>TotalReturn1Cell</vt:lpstr>
      <vt:lpstr>TotalReturn2Cell</vt:lpstr>
      <vt:lpstr>TotalReturnCurrency1Cell</vt:lpstr>
      <vt:lpstr>TotalReturnCurrency2Cell</vt:lpstr>
      <vt:lpstr>TotalUnitCountCell</vt:lpstr>
      <vt:lpstr>TotalUnits</vt:lpstr>
      <vt:lpstr>TransitionVersions</vt:lpstr>
      <vt:lpstr>unit_count</vt:lpstr>
      <vt:lpstr>unit_mix</vt:lpstr>
      <vt:lpstr>UnitCountDataTable</vt:lpstr>
      <vt:lpstr>UnitDistributionChart</vt:lpstr>
      <vt:lpstr>UnitRentChart</vt:lpstr>
      <vt:lpstr>UtilitiesCurrentCell</vt:lpstr>
      <vt:lpstr>UtilitiesProjectionCell</vt:lpstr>
      <vt:lpstr>vacancy_cost</vt:lpstr>
      <vt:lpstr>vacancy_cost_pro_forma</vt:lpstr>
      <vt:lpstr>vacancy_percent</vt:lpstr>
      <vt:lpstr>vacancy_percent_pro_forma</vt:lpstr>
      <vt:lpstr>YearBuiltCell</vt:lpstr>
      <vt:lpstr>Yr1Tax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MNet Launch - Multifamily Model - Editable and Print Ready</dc:title>
  <dc:subject/>
  <dc:creator>M&amp;M</dc:creator>
  <cp:keywords/>
  <dc:description>This is the editable and print ready Multifamily financial model for use in MNet Launch.</dc:description>
  <cp:lastModifiedBy>Scher, Glen</cp:lastModifiedBy>
  <cp:revision/>
  <cp:lastPrinted>2026-02-11T21:45:04Z</cp:lastPrinted>
  <dcterms:created xsi:type="dcterms:W3CDTF">2010-08-08T22:41:54Z</dcterms:created>
  <dcterms:modified xsi:type="dcterms:W3CDTF">2026-02-12T01:01:41Z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927413</vt:lpwstr>
  </property>
  <property fmtid="{D5CDD505-2E9C-101B-9397-08002B2CF9AE}" pid="3" name="NXPowerLiteSettings">
    <vt:lpwstr>F7000400038000</vt:lpwstr>
  </property>
  <property fmtid="{D5CDD505-2E9C-101B-9397-08002B2CF9AE}" pid="4" name="NXPowerLiteVersion">
    <vt:lpwstr>D6.2.4</vt:lpwstr>
  </property>
  <property fmtid="{D5CDD505-2E9C-101B-9397-08002B2CF9AE}" pid="5" name="ContentTypeId">
    <vt:lpwstr>0x0101008172F55FBD02A948A3CD7BAA43A863AC00D1B4CF5C2331DC46ADFD00B45C812964</vt:lpwstr>
  </property>
  <property fmtid="{D5CDD505-2E9C-101B-9397-08002B2CF9AE}" pid="6" name="TaxKeyword">
    <vt:lpwstr/>
  </property>
  <property fmtid="{D5CDD505-2E9C-101B-9397-08002B2CF9AE}" pid="7" name="Business Unit">
    <vt:lpwstr>7;#REIS|e4d5d859-f200-4831-a32a-e3d4639f48d4</vt:lpwstr>
  </property>
  <property fmtid="{D5CDD505-2E9C-101B-9397-08002B2CF9AE}" pid="8" name="Department1">
    <vt:lpwstr>102;#Learning Center|5a5e217e-30c2-4653-8bd1-e1c853fb8eb4;#9;#Operations|3d1b5732-3c9c-49bf-8b0f-b275099f00dc;#31;#Information Services|276f9b47-ffdc-4130-9a70-586484660ba0</vt:lpwstr>
  </property>
  <property fmtid="{D5CDD505-2E9C-101B-9397-08002B2CF9AE}" pid="9" name="Application">
    <vt:lpwstr>276;#MNet Launch|ee0e51d8-7786-4b1b-b616-4011b85a20e7</vt:lpwstr>
  </property>
  <property fmtid="{D5CDD505-2E9C-101B-9397-08002B2CF9AE}" pid="10" name="Document Type">
    <vt:lpwstr>11;#Guide|92fb98be-be94-42e8-bfdd-ff521f4b575f;#14;#Job Aid|93e5bbd0-57ab-431e-ace9-9d30f8dd8b64;#26;#Training|02ff57f5-c658-49d3-aaa9-026f253772c0</vt:lpwstr>
  </property>
  <property fmtid="{D5CDD505-2E9C-101B-9397-08002B2CF9AE}" pid="11" name="Product Type">
    <vt:lpwstr/>
  </property>
  <property fmtid="{D5CDD505-2E9C-101B-9397-08002B2CF9AE}" pid="12" name="Document_x0020_Type">
    <vt:lpwstr>11;#Guide|92fb98be-be94-42e8-bfdd-ff521f4b575f;#14;#Job Aid|93e5bbd0-57ab-431e-ace9-9d30f8dd8b64;#26;#Training|02ff57f5-c658-49d3-aaa9-026f253772c0</vt:lpwstr>
  </property>
  <property fmtid="{D5CDD505-2E9C-101B-9397-08002B2CF9AE}" pid="13" name="Product_x0020_Type">
    <vt:lpwstr/>
  </property>
  <property fmtid="{D5CDD505-2E9C-101B-9397-08002B2CF9AE}" pid="14" name="Business_x0020_Unit">
    <vt:lpwstr>7;#REIS|e4d5d859-f200-4831-a32a-e3d4639f48d4</vt:lpwstr>
  </property>
</Properties>
</file>