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dr2823/Dropbox/"/>
    </mc:Choice>
  </mc:AlternateContent>
  <bookViews>
    <workbookView xWindow="0" yWindow="1020" windowWidth="33600" windowHeight="191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" i="1" l="1"/>
  <c r="N30" i="1"/>
  <c r="N33" i="1"/>
  <c r="N34" i="1"/>
  <c r="L30" i="1"/>
  <c r="F14" i="2"/>
  <c r="F15" i="2"/>
  <c r="F7" i="1"/>
  <c r="G3" i="1"/>
  <c r="F3" i="1"/>
  <c r="E3" i="1"/>
  <c r="D3" i="1"/>
  <c r="C3" i="1"/>
  <c r="N12" i="1"/>
  <c r="M12" i="1"/>
  <c r="L12" i="1"/>
  <c r="K12" i="1"/>
  <c r="J12" i="1"/>
  <c r="G12" i="1"/>
  <c r="F12" i="1"/>
  <c r="E12" i="1"/>
  <c r="D12" i="1"/>
  <c r="C12" i="1"/>
  <c r="O22" i="1"/>
  <c r="N11" i="1"/>
  <c r="M11" i="1"/>
  <c r="L11" i="1"/>
  <c r="K11" i="1"/>
  <c r="J11" i="1"/>
  <c r="G11" i="1"/>
  <c r="F11" i="1"/>
  <c r="E11" i="1"/>
  <c r="D11" i="1"/>
  <c r="C11" i="1"/>
  <c r="N10" i="1"/>
  <c r="M10" i="1"/>
  <c r="L10" i="1"/>
  <c r="K10" i="1"/>
  <c r="J10" i="1"/>
  <c r="G10" i="1"/>
  <c r="F10" i="1"/>
  <c r="E10" i="1"/>
  <c r="D10" i="1"/>
  <c r="C10" i="1"/>
  <c r="N9" i="1"/>
  <c r="M9" i="1"/>
  <c r="L9" i="1"/>
  <c r="K9" i="1"/>
  <c r="J9" i="1"/>
  <c r="G9" i="1"/>
  <c r="F9" i="1"/>
  <c r="E9" i="1"/>
  <c r="D9" i="1"/>
  <c r="C9" i="1"/>
  <c r="N8" i="1"/>
  <c r="M8" i="1"/>
  <c r="L8" i="1"/>
  <c r="K8" i="1"/>
  <c r="J8" i="1"/>
  <c r="G8" i="1"/>
  <c r="F8" i="1"/>
  <c r="E8" i="1"/>
  <c r="D8" i="1"/>
  <c r="C8" i="1"/>
  <c r="G7" i="1"/>
  <c r="E7" i="1"/>
  <c r="D7" i="1"/>
  <c r="C7" i="1"/>
  <c r="G6" i="1"/>
  <c r="F6" i="1"/>
  <c r="E6" i="1"/>
  <c r="D6" i="1"/>
  <c r="C6" i="1"/>
  <c r="C4" i="1"/>
  <c r="D4" i="1"/>
  <c r="E4" i="1"/>
  <c r="F4" i="1"/>
  <c r="C5" i="1"/>
  <c r="D5" i="1"/>
  <c r="E5" i="1"/>
  <c r="F5" i="1"/>
  <c r="N7" i="1"/>
  <c r="L7" i="1"/>
  <c r="M7" i="1"/>
  <c r="K7" i="1"/>
  <c r="J7" i="1"/>
  <c r="N6" i="1"/>
  <c r="M6" i="1"/>
  <c r="L6" i="1"/>
  <c r="K6" i="1"/>
  <c r="J6" i="1"/>
  <c r="N5" i="1"/>
  <c r="M5" i="1"/>
  <c r="L5" i="1"/>
  <c r="K5" i="1"/>
  <c r="J5" i="1"/>
  <c r="G5" i="1"/>
  <c r="N4" i="1"/>
  <c r="L4" i="1"/>
  <c r="M4" i="1"/>
  <c r="K4" i="1"/>
  <c r="J4" i="1"/>
  <c r="G4" i="1"/>
  <c r="N3" i="1"/>
  <c r="M3" i="1"/>
  <c r="L3" i="1"/>
  <c r="K3" i="1"/>
  <c r="J3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<sst xmlns="http://schemas.openxmlformats.org/spreadsheetml/2006/main" count="35" uniqueCount="33">
  <si>
    <t>year</t>
  </si>
  <si>
    <t>Natural Gas capacity</t>
  </si>
  <si>
    <t>Coal capacity</t>
  </si>
  <si>
    <t>Wind capacity</t>
  </si>
  <si>
    <t>Nuclear capacity</t>
  </si>
  <si>
    <t>Other capacity</t>
  </si>
  <si>
    <t>Natural Gas energy</t>
  </si>
  <si>
    <t>Coal energy</t>
  </si>
  <si>
    <t>Wind energy</t>
  </si>
  <si>
    <t>Nuclear energy</t>
  </si>
  <si>
    <t>Other energy</t>
  </si>
  <si>
    <t>total capacity</t>
  </si>
  <si>
    <t>energy BkWh</t>
  </si>
  <si>
    <t>http://www.ercot.com/content/news/presentations/2013/ERCOT_Quick_Facts_May%202013.pdf</t>
  </si>
  <si>
    <t>http://www.ercot.com/content/news/presentations/2007/2006_Annual_Report.pdf</t>
  </si>
  <si>
    <t>http://www.ercot.com/content/news/presentations/2008/ERCOT_2007_Annual_Report.pdf</t>
  </si>
  <si>
    <t>http://www.ercot.com/content/news/presentations/2010/ERCOT%202008%20Annual%20Report.pdf</t>
  </si>
  <si>
    <t>http://www.ercot.com/content/news/presentations/2010/2009%20ERCOT%20Annual%20Report.pdf</t>
  </si>
  <si>
    <t>http://www.ercot.com/content/news/presentations/2011/ERCOT%20Quick%20Facts%20-%20Oct%202011.pdf</t>
  </si>
  <si>
    <t>http://www.ercot.com/content/news/presentations/2012/ERCOT%20Quick%20Facts%20-%20Jan%202012.pdf</t>
  </si>
  <si>
    <t>http://www.ercot.com/content/news/presentations/2014/ERCOT_Quick_Facts_February%205%202014.pdf</t>
  </si>
  <si>
    <t>http://www.ercot.com/content/news/presentations/2015/ERCOT_Quick_Facts_122115.pdf</t>
  </si>
  <si>
    <t>http://www.ercot.com/content/news/presentations/2016/ERCOT_Quick_Facts_22216.pdf</t>
  </si>
  <si>
    <t>http://www.ercot.com/content/wcm/lists/114739/ERCOT_Quick_Facts_11117.pdf</t>
  </si>
  <si>
    <t>2018E</t>
  </si>
  <si>
    <t>2019E</t>
  </si>
  <si>
    <t>Natural Gas</t>
  </si>
  <si>
    <t>Coal</t>
  </si>
  <si>
    <t>Wind</t>
  </si>
  <si>
    <t>Nuclear</t>
  </si>
  <si>
    <t>Other</t>
  </si>
  <si>
    <t>lb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</si>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</sst>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7772AE"/>
      <color rgb="FF65B580"/>
      <color rgb="FF204973"/>
      <color rgb="FF707A83"/>
      <color rgb="FF5ABA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The changing ERCOT </a:t>
            </a:r>
            <a:r>
              <a:rPr lang="en-US" sz="2000" b="1" baseline="0"/>
              <a:t>energy mix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5ABAC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Sheet2!$A$2:$A$13</c:f>
              <c:numCache>
                <c:formatCode>General</c:formatCode>
                <c:ptCount val="12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  <c:pt idx="11">
                  <c:v>2017.0</c:v>
                </c:pt>
              </c:numCache>
            </c:numRef>
          </c:cat>
          <c:val>
            <c:numRef>
              <c:f>Sheet2!$B$2:$B$13</c:f>
              <c:numCache>
                <c:formatCode>0%</c:formatCode>
                <c:ptCount val="12"/>
                <c:pt idx="0">
                  <c:v>0.462537462537462</c:v>
                </c:pt>
                <c:pt idx="1">
                  <c:v>0.459983713355049</c:v>
                </c:pt>
                <c:pt idx="2">
                  <c:v>0.452612179487179</c:v>
                </c:pt>
                <c:pt idx="3">
                  <c:v>0.45849025974026</c:v>
                </c:pt>
                <c:pt idx="4">
                  <c:v>0.442680250783699</c:v>
                </c:pt>
                <c:pt idx="5">
                  <c:v>0.421537313432836</c:v>
                </c:pt>
                <c:pt idx="6">
                  <c:v>0.435848765432099</c:v>
                </c:pt>
                <c:pt idx="7">
                  <c:v>0.426205214724852</c:v>
                </c:pt>
                <c:pt idx="8">
                  <c:v>0.414923311982135</c:v>
                </c:pt>
                <c:pt idx="9">
                  <c:v>0.406959654178674</c:v>
                </c:pt>
                <c:pt idx="10">
                  <c:v>0.401920017304633</c:v>
                </c:pt>
                <c:pt idx="11">
                  <c:v>0.39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07A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Sheet2!$A$2:$A$13</c:f>
              <c:numCache>
                <c:formatCode>General</c:formatCode>
                <c:ptCount val="12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  <c:pt idx="11">
                  <c:v>2017.0</c:v>
                </c:pt>
              </c:numCache>
            </c:numRef>
          </c:cat>
          <c:val>
            <c:numRef>
              <c:f>Sheet2!$C$2:$C$13</c:f>
              <c:numCache>
                <c:formatCode>0%</c:formatCode>
                <c:ptCount val="12"/>
                <c:pt idx="0">
                  <c:v>0.373626373626374</c:v>
                </c:pt>
                <c:pt idx="1">
                  <c:v>0.374</c:v>
                </c:pt>
                <c:pt idx="2">
                  <c:v>0.37</c:v>
                </c:pt>
                <c:pt idx="3">
                  <c:v>0.37</c:v>
                </c:pt>
                <c:pt idx="4">
                  <c:v>0.4</c:v>
                </c:pt>
                <c:pt idx="5">
                  <c:v>0.39</c:v>
                </c:pt>
                <c:pt idx="6">
                  <c:v>0.338</c:v>
                </c:pt>
                <c:pt idx="7">
                  <c:v>0.371628371628372</c:v>
                </c:pt>
                <c:pt idx="8">
                  <c:v>0.35964035964036</c:v>
                </c:pt>
                <c:pt idx="9">
                  <c:v>0.281</c:v>
                </c:pt>
                <c:pt idx="10">
                  <c:v>0.287712287712288</c:v>
                </c:pt>
                <c:pt idx="11">
                  <c:v>0.32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20497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Sheet2!$A$2:$A$13</c:f>
              <c:numCache>
                <c:formatCode>General</c:formatCode>
                <c:ptCount val="12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  <c:pt idx="11">
                  <c:v>2017.0</c:v>
                </c:pt>
              </c:numCache>
            </c:numRef>
          </c:cat>
          <c:val>
            <c:numRef>
              <c:f>Sheet2!$D$2:$D$13</c:f>
              <c:numCache>
                <c:formatCode>0%</c:formatCode>
                <c:ptCount val="12"/>
                <c:pt idx="0">
                  <c:v>0.020979020979021</c:v>
                </c:pt>
                <c:pt idx="1">
                  <c:v>0.029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  <c:pt idx="5">
                  <c:v>0.085</c:v>
                </c:pt>
                <c:pt idx="6">
                  <c:v>0.092</c:v>
                </c:pt>
                <c:pt idx="7">
                  <c:v>0.0989010989010989</c:v>
                </c:pt>
                <c:pt idx="8">
                  <c:v>0.105894105894106</c:v>
                </c:pt>
                <c:pt idx="9">
                  <c:v>0.117</c:v>
                </c:pt>
                <c:pt idx="10">
                  <c:v>0.150849150849151</c:v>
                </c:pt>
                <c:pt idx="11">
                  <c:v>0.17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65B5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Sheet2!$A$2:$A$13</c:f>
              <c:numCache>
                <c:formatCode>General</c:formatCode>
                <c:ptCount val="12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  <c:pt idx="11">
                  <c:v>2017.0</c:v>
                </c:pt>
              </c:numCache>
            </c:numRef>
          </c:cat>
          <c:val>
            <c:numRef>
              <c:f>Sheet2!$E$2:$E$13</c:f>
              <c:numCache>
                <c:formatCode>0%</c:formatCode>
                <c:ptCount val="12"/>
                <c:pt idx="0">
                  <c:v>0.135864135864136</c:v>
                </c:pt>
                <c:pt idx="1">
                  <c:v>0.134</c:v>
                </c:pt>
                <c:pt idx="2">
                  <c:v>0.13</c:v>
                </c:pt>
                <c:pt idx="3">
                  <c:v>0.14</c:v>
                </c:pt>
                <c:pt idx="4">
                  <c:v>0.13</c:v>
                </c:pt>
                <c:pt idx="5">
                  <c:v>0.12</c:v>
                </c:pt>
                <c:pt idx="6">
                  <c:v>0.118</c:v>
                </c:pt>
                <c:pt idx="7">
                  <c:v>0.115884115884116</c:v>
                </c:pt>
                <c:pt idx="8">
                  <c:v>0.115884115884116</c:v>
                </c:pt>
                <c:pt idx="9">
                  <c:v>0.113</c:v>
                </c:pt>
                <c:pt idx="10">
                  <c:v>0.11988011988012</c:v>
                </c:pt>
                <c:pt idx="11">
                  <c:v>0.11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7772AE"/>
            </a:solidFill>
            <a:ln>
              <a:noFill/>
            </a:ln>
            <a:effectLst/>
          </c:spPr>
          <c:invertIfNegative val="0"/>
          <c:cat>
            <c:numRef>
              <c:f>Sheet2!$A$2:$A$13</c:f>
              <c:numCache>
                <c:formatCode>General</c:formatCode>
                <c:ptCount val="12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  <c:pt idx="11">
                  <c:v>2017.0</c:v>
                </c:pt>
              </c:numCache>
            </c:numRef>
          </c:cat>
          <c:val>
            <c:numRef>
              <c:f>Sheet2!$F$2:$F$13</c:f>
              <c:numCache>
                <c:formatCode>0%</c:formatCode>
                <c:ptCount val="12"/>
                <c:pt idx="0">
                  <c:v>0.00699300699300699</c:v>
                </c:pt>
                <c:pt idx="1">
                  <c:v>0.008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0.005</c:v>
                </c:pt>
                <c:pt idx="6">
                  <c:v>0.006</c:v>
                </c:pt>
                <c:pt idx="7">
                  <c:v>0.00899100899100899</c:v>
                </c:pt>
                <c:pt idx="8">
                  <c:v>0.00799200799200799</c:v>
                </c:pt>
                <c:pt idx="9">
                  <c:v>0.006</c:v>
                </c:pt>
                <c:pt idx="10">
                  <c:v>0.00499500499500499</c:v>
                </c:pt>
                <c:pt idx="11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538722544"/>
        <c:axId val="-539015840"/>
      </c:barChart>
      <c:catAx>
        <c:axId val="-53872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015840"/>
        <c:crosses val="autoZero"/>
        <c:auto val="1"/>
        <c:lblAlgn val="ctr"/>
        <c:lblOffset val="100"/>
        <c:noMultiLvlLbl val="0"/>
      </c:catAx>
      <c:valAx>
        <c:axId val="-5390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Percent energy (MWh) generated in ERCOT</a:t>
                </a:r>
                <a:r>
                  <a:rPr lang="en-US" sz="1600" b="1" baseline="0"/>
                  <a:t> by fuel type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87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2</xdr:row>
      <xdr:rowOff>63500</xdr:rowOff>
    </xdr:from>
    <xdr:to>
      <xdr:col>19</xdr:col>
      <xdr:colOff>787400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0.08005</cdr:x>
      <cdr:y>0.73977</cdr:y>
    </cdr:from>
    <cdr:to>
      <cdr:x>0.72592</cdr:x>
      <cdr:y>0.85761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9260" y="5740419"/>
          <a:ext cx="6045279" cy="914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Copyright Joshua D.</a:t>
          </a:r>
          <a:r>
            <a:rPr lang="en-US" sz="1050" baseline="0"/>
            <a:t> Rhodes, PhD | Energy Institute/Webber Energy Group, The University of Texas at Austin | @joshdr83</a:t>
          </a:r>
          <a:endParaRPr lang="en-US" sz="105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N31" sqref="N31"/>
    </sheetView>
  </sheetViews>
  <sheetFormatPr baseColWidth="10" defaultRowHeight="16" x14ac:dyDescent="0.2"/>
  <cols>
    <col min="2" max="2" width="12.6640625" bestFit="1" customWidth="1"/>
    <col min="3" max="3" width="17.83203125" bestFit="1" customWidth="1"/>
    <col min="4" max="4" width="11.83203125" bestFit="1" customWidth="1"/>
    <col min="5" max="5" width="12.5" bestFit="1" customWidth="1"/>
    <col min="6" max="6" width="17.83203125" bestFit="1" customWidth="1"/>
    <col min="7" max="7" width="13" bestFit="1" customWidth="1"/>
    <col min="8" max="9" width="13" customWidth="1"/>
    <col min="10" max="10" width="16.6640625" bestFit="1" customWidth="1"/>
    <col min="11" max="11" width="10.6640625" bestFit="1" customWidth="1"/>
    <col min="12" max="12" width="11.5" bestFit="1" customWidth="1"/>
    <col min="13" max="13" width="13.5" bestFit="1" customWidth="1"/>
    <col min="14" max="14" width="13.6640625" bestFit="1" customWidth="1"/>
  </cols>
  <sheetData>
    <row r="1" spans="1:14" x14ac:dyDescent="0.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0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>
        <v>2006</v>
      </c>
      <c r="B2" s="1"/>
      <c r="C2" s="1"/>
      <c r="D2" s="1"/>
      <c r="E2" s="1"/>
      <c r="F2" s="1"/>
      <c r="G2" s="1"/>
      <c r="H2" s="1">
        <v>305</v>
      </c>
      <c r="I2">
        <v>2006</v>
      </c>
      <c r="J2" s="1">
        <f>H2*0.463</f>
        <v>141.215</v>
      </c>
      <c r="K2" s="1">
        <f>H2*0.374</f>
        <v>114.07</v>
      </c>
      <c r="L2" s="1">
        <f>H2*0.021</f>
        <v>6.4050000000000002</v>
      </c>
      <c r="M2" s="1">
        <f>H2*0.136</f>
        <v>41.480000000000004</v>
      </c>
      <c r="N2" s="1">
        <f>H2*0.007</f>
        <v>2.1350000000000002</v>
      </c>
    </row>
    <row r="3" spans="1:14" x14ac:dyDescent="0.2">
      <c r="A3">
        <v>2007</v>
      </c>
      <c r="B3" s="1">
        <v>71812</v>
      </c>
      <c r="C3" s="1">
        <f>B3*0.717</f>
        <v>51489.203999999998</v>
      </c>
      <c r="D3" s="1">
        <f>B3*0.205</f>
        <v>14721.46</v>
      </c>
      <c r="E3" s="1">
        <f>B3*0.004</f>
        <v>287.24799999999999</v>
      </c>
      <c r="F3" s="1">
        <f>B3*0.064</f>
        <v>4595.9679999999998</v>
      </c>
      <c r="G3" s="1">
        <f>B3*0.01</f>
        <v>718.12</v>
      </c>
      <c r="H3" s="1">
        <v>307</v>
      </c>
      <c r="I3">
        <v>2007</v>
      </c>
      <c r="J3" s="1">
        <f>H3*0.455</f>
        <v>139.685</v>
      </c>
      <c r="K3" s="1">
        <f>H3*0.374</f>
        <v>114.818</v>
      </c>
      <c r="L3" s="1">
        <f>H3*0.029</f>
        <v>8.9030000000000005</v>
      </c>
      <c r="M3" s="1">
        <f>H3*0.134</f>
        <v>41.138000000000005</v>
      </c>
      <c r="N3" s="1">
        <f>H3*0.008</f>
        <v>2.456</v>
      </c>
    </row>
    <row r="4" spans="1:14" x14ac:dyDescent="0.2">
      <c r="A4">
        <v>2008</v>
      </c>
      <c r="B4" s="1">
        <v>72820</v>
      </c>
      <c r="C4" s="1">
        <f>B4*0.645</f>
        <v>46968.9</v>
      </c>
      <c r="D4" s="1">
        <f>B4*0.203</f>
        <v>14782.460000000001</v>
      </c>
      <c r="E4" s="1">
        <f>B4*0.071</f>
        <v>5170.2199999999993</v>
      </c>
      <c r="F4" s="1">
        <f>B4*0.063</f>
        <v>4587.66</v>
      </c>
      <c r="G4" s="1">
        <f>B5*0.03</f>
        <v>2402.2799999999997</v>
      </c>
      <c r="H4" s="1">
        <v>312</v>
      </c>
      <c r="I4">
        <v>2008</v>
      </c>
      <c r="J4" s="1">
        <f>H4*0.43</f>
        <v>134.16</v>
      </c>
      <c r="K4" s="1">
        <f>H4*0.37</f>
        <v>115.44</v>
      </c>
      <c r="L4" s="1">
        <f>H4*0.05</f>
        <v>15.600000000000001</v>
      </c>
      <c r="M4" s="1">
        <f>H4*0.13</f>
        <v>40.56</v>
      </c>
      <c r="N4" s="1">
        <f>H4*0.02</f>
        <v>6.24</v>
      </c>
    </row>
    <row r="5" spans="1:14" x14ac:dyDescent="0.2">
      <c r="A5">
        <v>2009</v>
      </c>
      <c r="B5" s="1">
        <v>80076</v>
      </c>
      <c r="C5" s="1">
        <f>B5*0.65</f>
        <v>52049.4</v>
      </c>
      <c r="D5" s="1">
        <f>B5*0.16</f>
        <v>12812.16</v>
      </c>
      <c r="E5" s="1">
        <f>B5*0.1</f>
        <v>8007.6</v>
      </c>
      <c r="F5" s="1">
        <f>B5*0.06</f>
        <v>4804.5599999999995</v>
      </c>
      <c r="G5" s="1">
        <f>B6*0.02</f>
        <v>1688</v>
      </c>
      <c r="H5" s="1">
        <v>308</v>
      </c>
      <c r="I5">
        <v>2009</v>
      </c>
      <c r="J5" s="1">
        <f>H5*0.42</f>
        <v>129.35999999999999</v>
      </c>
      <c r="K5" s="1">
        <f>H5*0.37</f>
        <v>113.96</v>
      </c>
      <c r="L5" s="1">
        <f>H5*0.06</f>
        <v>18.48</v>
      </c>
      <c r="M5" s="1">
        <f>H5*0.14</f>
        <v>43.120000000000005</v>
      </c>
      <c r="N5" s="1">
        <f>H5*0.01</f>
        <v>3.08</v>
      </c>
    </row>
    <row r="6" spans="1:14" x14ac:dyDescent="0.2">
      <c r="A6">
        <v>2010</v>
      </c>
      <c r="B6" s="1">
        <v>84400</v>
      </c>
      <c r="C6" s="1">
        <f>B6*0.57</f>
        <v>48107.999999999993</v>
      </c>
      <c r="D6" s="1">
        <f>B6*0.23</f>
        <v>19412</v>
      </c>
      <c r="E6" s="1">
        <f>B6*0.12</f>
        <v>10128</v>
      </c>
      <c r="F6" s="1">
        <f>B6*0.06</f>
        <v>5064</v>
      </c>
      <c r="G6" s="1">
        <f>B6*0.02</f>
        <v>1688</v>
      </c>
      <c r="H6" s="1">
        <v>319</v>
      </c>
      <c r="I6">
        <v>2010</v>
      </c>
      <c r="J6" s="1">
        <f>H6*0.38</f>
        <v>121.22</v>
      </c>
      <c r="K6" s="1">
        <f>H6*0.4</f>
        <v>127.60000000000001</v>
      </c>
      <c r="L6" s="1">
        <f>H6*0.08</f>
        <v>25.52</v>
      </c>
      <c r="M6" s="1">
        <f>H6*0.13</f>
        <v>41.47</v>
      </c>
      <c r="N6" s="1">
        <f>H6*0.01</f>
        <v>3.19</v>
      </c>
    </row>
    <row r="7" spans="1:14" x14ac:dyDescent="0.2">
      <c r="A7">
        <v>2011</v>
      </c>
      <c r="B7" s="1">
        <v>84000</v>
      </c>
      <c r="C7" s="1">
        <f>B7*0.57</f>
        <v>47879.999999999993</v>
      </c>
      <c r="D7" s="1">
        <f>B7*0.23</f>
        <v>19320</v>
      </c>
      <c r="E7" s="1">
        <f>B7*0.13</f>
        <v>10920</v>
      </c>
      <c r="F7" s="1">
        <f>B7*0.07</f>
        <v>5880.0000000000009</v>
      </c>
      <c r="G7" s="1">
        <f t="shared" ref="G7:G12" si="0">B7*0.01</f>
        <v>840</v>
      </c>
      <c r="H7" s="1">
        <v>335</v>
      </c>
      <c r="I7">
        <v>2011</v>
      </c>
      <c r="J7" s="1">
        <f>H7*0.4</f>
        <v>134</v>
      </c>
      <c r="K7" s="1">
        <f>H7*0.39</f>
        <v>130.65</v>
      </c>
      <c r="L7" s="1">
        <f>H7*0.085</f>
        <v>28.475000000000001</v>
      </c>
      <c r="M7" s="1">
        <f>H7*0.12</f>
        <v>40.199999999999996</v>
      </c>
      <c r="N7" s="1">
        <f>H7*0.005</f>
        <v>1.675</v>
      </c>
    </row>
    <row r="8" spans="1:14" x14ac:dyDescent="0.2">
      <c r="A8">
        <v>2012</v>
      </c>
      <c r="B8" s="1">
        <v>80053</v>
      </c>
      <c r="C8" s="1">
        <f>B8*0.57</f>
        <v>45630.21</v>
      </c>
      <c r="D8" s="1">
        <f>B8*0.23</f>
        <v>18412.190000000002</v>
      </c>
      <c r="E8" s="1">
        <f>B8*0.13</f>
        <v>10406.890000000001</v>
      </c>
      <c r="F8" s="1">
        <f>B8*0.06</f>
        <v>4803.1799999999994</v>
      </c>
      <c r="G8" s="1">
        <f t="shared" si="0"/>
        <v>800.53</v>
      </c>
      <c r="H8" s="1">
        <v>324</v>
      </c>
      <c r="I8">
        <v>2012</v>
      </c>
      <c r="J8" s="1">
        <f>H8*0.446</f>
        <v>144.50399999999999</v>
      </c>
      <c r="K8" s="1">
        <f>H8*0.338</f>
        <v>109.512</v>
      </c>
      <c r="L8" s="1">
        <f>H8*0.092</f>
        <v>29.808</v>
      </c>
      <c r="M8" s="1">
        <f>H8*0.118</f>
        <v>38.231999999999999</v>
      </c>
      <c r="N8" s="1">
        <f>H8*0.006</f>
        <v>1.944</v>
      </c>
    </row>
    <row r="9" spans="1:14" x14ac:dyDescent="0.2">
      <c r="A9">
        <v>2013</v>
      </c>
      <c r="B9" s="1">
        <v>80400</v>
      </c>
      <c r="C9" s="1">
        <f>B9*0.56</f>
        <v>45024.000000000007</v>
      </c>
      <c r="D9" s="1">
        <f>B9*0.23</f>
        <v>18492</v>
      </c>
      <c r="E9" s="1">
        <f>B9*0.14</f>
        <v>11256.000000000002</v>
      </c>
      <c r="F9" s="1">
        <f>B9*0.06</f>
        <v>4824</v>
      </c>
      <c r="G9" s="1">
        <f t="shared" si="0"/>
        <v>804</v>
      </c>
      <c r="H9" s="1">
        <v>331</v>
      </c>
      <c r="I9">
        <v>2013</v>
      </c>
      <c r="J9" s="1">
        <f>H9*0.405</f>
        <v>134.05500000000001</v>
      </c>
      <c r="K9" s="1">
        <f>H9*0.372</f>
        <v>123.13200000000001</v>
      </c>
      <c r="L9" s="1">
        <f>H9*0.099</f>
        <v>32.768999999999998</v>
      </c>
      <c r="M9" s="1">
        <f>H9*0.116</f>
        <v>38.396000000000001</v>
      </c>
      <c r="N9" s="1">
        <f>H9*0.009</f>
        <v>2.9789999999999996</v>
      </c>
    </row>
    <row r="10" spans="1:14" x14ac:dyDescent="0.2">
      <c r="A10">
        <v>2014</v>
      </c>
      <c r="B10" s="1">
        <v>89071</v>
      </c>
      <c r="C10" s="1">
        <f>B10*0.55</f>
        <v>48989.05</v>
      </c>
      <c r="D10" s="1">
        <f>B10*0.24</f>
        <v>21377.040000000001</v>
      </c>
      <c r="E10" s="1">
        <f>B10*0.14</f>
        <v>12469.94</v>
      </c>
      <c r="F10" s="1">
        <f>B10*0.06</f>
        <v>5344.26</v>
      </c>
      <c r="G10" s="1">
        <f t="shared" si="0"/>
        <v>890.71</v>
      </c>
      <c r="H10" s="1">
        <v>340</v>
      </c>
      <c r="I10">
        <v>2014</v>
      </c>
      <c r="J10" s="1">
        <f>H10*0.411</f>
        <v>139.73999999999998</v>
      </c>
      <c r="K10" s="1">
        <f>H10*0.36</f>
        <v>122.39999999999999</v>
      </c>
      <c r="L10" s="1">
        <f>H10*0.106</f>
        <v>36.04</v>
      </c>
      <c r="M10" s="1">
        <f>H10*0.116</f>
        <v>39.440000000000005</v>
      </c>
      <c r="N10" s="1">
        <f>H10*0.008</f>
        <v>2.72</v>
      </c>
    </row>
    <row r="11" spans="1:14" x14ac:dyDescent="0.2">
      <c r="A11">
        <v>2015</v>
      </c>
      <c r="B11" s="1">
        <v>87578</v>
      </c>
      <c r="C11" s="1">
        <f>B11*0.53</f>
        <v>46416.340000000004</v>
      </c>
      <c r="D11" s="1">
        <f>B11*0.22</f>
        <v>19267.16</v>
      </c>
      <c r="E11" s="1">
        <f>B11*0.18</f>
        <v>15764.039999999999</v>
      </c>
      <c r="F11" s="1">
        <f>B11*0.06</f>
        <v>5254.6799999999994</v>
      </c>
      <c r="G11" s="1">
        <f t="shared" si="0"/>
        <v>875.78</v>
      </c>
      <c r="H11" s="1">
        <v>347</v>
      </c>
      <c r="I11">
        <v>2015</v>
      </c>
      <c r="J11" s="1">
        <f>H11*0.483</f>
        <v>167.601</v>
      </c>
      <c r="K11" s="1">
        <f>H11*0.281</f>
        <v>97.507000000000005</v>
      </c>
      <c r="L11" s="1">
        <f>H11*0.117</f>
        <v>40.599000000000004</v>
      </c>
      <c r="M11" s="1">
        <f>H11*0.113</f>
        <v>39.210999999999999</v>
      </c>
      <c r="N11" s="1">
        <f>H11*0.006</f>
        <v>2.0819999999999999</v>
      </c>
    </row>
    <row r="12" spans="1:14" x14ac:dyDescent="0.2">
      <c r="A12">
        <v>2016</v>
      </c>
      <c r="B12" s="1">
        <v>88020</v>
      </c>
      <c r="C12" s="1">
        <f>B12*0.52</f>
        <v>45770.400000000001</v>
      </c>
      <c r="D12" s="1">
        <f>B12*0.22</f>
        <v>19364.400000000001</v>
      </c>
      <c r="E12" s="1">
        <f>B12*0.2</f>
        <v>17604</v>
      </c>
      <c r="F12" s="1">
        <f>B12*0.06</f>
        <v>5281.2</v>
      </c>
      <c r="G12" s="1">
        <f t="shared" si="0"/>
        <v>880.2</v>
      </c>
      <c r="H12" s="1">
        <v>351</v>
      </c>
      <c r="I12">
        <v>2016</v>
      </c>
      <c r="J12" s="1">
        <f>H12*0.437</f>
        <v>153.387</v>
      </c>
      <c r="K12" s="1">
        <f>H12*0.288</f>
        <v>101.08799999999999</v>
      </c>
      <c r="L12" s="1">
        <f>H12*0.151</f>
        <v>53.000999999999998</v>
      </c>
      <c r="M12" s="1">
        <f>H12*0.12</f>
        <v>42.12</v>
      </c>
      <c r="N12" s="1">
        <f>H12*0.005</f>
        <v>1.7550000000000001</v>
      </c>
    </row>
    <row r="13" spans="1:14" x14ac:dyDescent="0.2">
      <c r="A13">
        <v>2017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>
        <v>2018</v>
      </c>
      <c r="B14" s="1"/>
      <c r="C14" s="1"/>
      <c r="D14" s="1"/>
      <c r="E14" s="1"/>
      <c r="F14" s="1"/>
    </row>
    <row r="15" spans="1:14" x14ac:dyDescent="0.2">
      <c r="A15">
        <v>2019</v>
      </c>
    </row>
    <row r="22" spans="1:15" x14ac:dyDescent="0.2">
      <c r="A22">
        <v>2006</v>
      </c>
      <c r="B22" t="s">
        <v>14</v>
      </c>
      <c r="O22">
        <f>17604/0.2</f>
        <v>88020</v>
      </c>
    </row>
    <row r="23" spans="1:15" x14ac:dyDescent="0.2">
      <c r="A23">
        <v>2007</v>
      </c>
      <c r="B23" t="s">
        <v>15</v>
      </c>
    </row>
    <row r="24" spans="1:15" x14ac:dyDescent="0.2">
      <c r="A24">
        <v>2008</v>
      </c>
      <c r="B24" t="s">
        <v>16</v>
      </c>
    </row>
    <row r="25" spans="1:15" x14ac:dyDescent="0.2">
      <c r="A25">
        <v>2009</v>
      </c>
      <c r="B25" t="s">
        <v>17</v>
      </c>
    </row>
    <row r="26" spans="1:15" x14ac:dyDescent="0.2">
      <c r="A26">
        <v>2010</v>
      </c>
      <c r="B26" t="s">
        <v>18</v>
      </c>
    </row>
    <row r="27" spans="1:15" x14ac:dyDescent="0.2">
      <c r="A27">
        <v>2011</v>
      </c>
      <c r="B27" t="s">
        <v>19</v>
      </c>
    </row>
    <row r="28" spans="1:15" x14ac:dyDescent="0.2">
      <c r="A28">
        <v>2012</v>
      </c>
      <c r="B28" t="s">
        <v>13</v>
      </c>
    </row>
    <row r="29" spans="1:15" x14ac:dyDescent="0.2">
      <c r="A29">
        <v>2013</v>
      </c>
      <c r="B29" t="s">
        <v>20</v>
      </c>
      <c r="L29">
        <v>351000000000</v>
      </c>
    </row>
    <row r="30" spans="1:15" x14ac:dyDescent="0.2">
      <c r="A30">
        <v>2014</v>
      </c>
      <c r="B30" t="s">
        <v>21</v>
      </c>
      <c r="L30">
        <f>L29/1000</f>
        <v>351000000</v>
      </c>
      <c r="N30">
        <f>L30*1442</f>
        <v>506142000000</v>
      </c>
    </row>
    <row r="31" spans="1:15" x14ac:dyDescent="0.2">
      <c r="A31">
        <v>2015</v>
      </c>
      <c r="B31" t="s">
        <v>22</v>
      </c>
      <c r="N31">
        <f>L30*(1442 - 17604*0.01467)</f>
        <v>415496011319.99994</v>
      </c>
    </row>
    <row r="32" spans="1:15" x14ac:dyDescent="0.2">
      <c r="A32">
        <v>2016</v>
      </c>
      <c r="B32" t="s">
        <v>23</v>
      </c>
    </row>
    <row r="33" spans="1:14" x14ac:dyDescent="0.2">
      <c r="A33">
        <v>2017</v>
      </c>
      <c r="N33" s="1">
        <f>N30-N31</f>
        <v>90645988680.000061</v>
      </c>
    </row>
    <row r="34" spans="1:14" x14ac:dyDescent="0.2">
      <c r="J34">
        <v>1400</v>
      </c>
      <c r="K34" t="s">
        <v>31</v>
      </c>
      <c r="N34" s="1">
        <f>N33/2000</f>
        <v>45322994.340000033</v>
      </c>
    </row>
    <row r="35" spans="1:14" x14ac:dyDescent="0.2">
      <c r="K3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31" sqref="E31"/>
    </sheetView>
  </sheetViews>
  <sheetFormatPr baseColWidth="10" defaultRowHeight="16" x14ac:dyDescent="0.2"/>
  <cols>
    <col min="2" max="2" width="12.1640625" bestFit="1" customWidth="1"/>
  </cols>
  <sheetData>
    <row r="1" spans="1:6" x14ac:dyDescent="0.2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2">
      <c r="A2">
        <v>2006</v>
      </c>
      <c r="B2" s="2">
        <v>0.46253746253746253</v>
      </c>
      <c r="C2" s="2">
        <v>0.37362637362637358</v>
      </c>
      <c r="D2" s="2">
        <v>2.097902097902098E-2</v>
      </c>
      <c r="E2" s="2">
        <v>0.13586413586413587</v>
      </c>
      <c r="F2" s="2">
        <v>6.9930069930069939E-3</v>
      </c>
    </row>
    <row r="3" spans="1:6" x14ac:dyDescent="0.2">
      <c r="A3">
        <v>2007</v>
      </c>
      <c r="B3" s="2">
        <v>0.4599837133550489</v>
      </c>
      <c r="C3" s="2">
        <v>0.374</v>
      </c>
      <c r="D3" s="2">
        <v>2.9000000000000001E-2</v>
      </c>
      <c r="E3" s="2">
        <v>0.13400000000000001</v>
      </c>
      <c r="F3" s="2">
        <v>8.0000000000000002E-3</v>
      </c>
    </row>
    <row r="4" spans="1:6" x14ac:dyDescent="0.2">
      <c r="A4">
        <v>2008</v>
      </c>
      <c r="B4" s="2">
        <v>0.45261217948717952</v>
      </c>
      <c r="C4" s="2">
        <v>0.37</v>
      </c>
      <c r="D4" s="2">
        <v>0.05</v>
      </c>
      <c r="E4" s="2">
        <v>0.13</v>
      </c>
      <c r="F4" s="2">
        <v>0.02</v>
      </c>
    </row>
    <row r="5" spans="1:6" x14ac:dyDescent="0.2">
      <c r="A5">
        <v>2009</v>
      </c>
      <c r="B5" s="2">
        <v>0.45849025974025975</v>
      </c>
      <c r="C5" s="2">
        <v>0.37</v>
      </c>
      <c r="D5" s="2">
        <v>6.0000000000000005E-2</v>
      </c>
      <c r="E5" s="2">
        <v>0.14000000000000001</v>
      </c>
      <c r="F5" s="2">
        <v>0.01</v>
      </c>
    </row>
    <row r="6" spans="1:6" x14ac:dyDescent="0.2">
      <c r="A6">
        <v>2010</v>
      </c>
      <c r="B6" s="2">
        <v>0.44268025078369916</v>
      </c>
      <c r="C6" s="2">
        <v>0.40000000000000008</v>
      </c>
      <c r="D6" s="2">
        <v>8.0000000000000016E-2</v>
      </c>
      <c r="E6" s="2">
        <v>0.13000000000000003</v>
      </c>
      <c r="F6" s="2">
        <v>1.0000000000000002E-2</v>
      </c>
    </row>
    <row r="7" spans="1:6" x14ac:dyDescent="0.2">
      <c r="A7">
        <v>2011</v>
      </c>
      <c r="B7" s="2">
        <v>0.42153731343283585</v>
      </c>
      <c r="C7" s="2">
        <v>0.39</v>
      </c>
      <c r="D7" s="2">
        <v>8.5000000000000006E-2</v>
      </c>
      <c r="E7" s="2">
        <v>0.11999999999999998</v>
      </c>
      <c r="F7" s="2">
        <v>5.0000000000000001E-3</v>
      </c>
    </row>
    <row r="8" spans="1:6" x14ac:dyDescent="0.2">
      <c r="A8">
        <v>2012</v>
      </c>
      <c r="B8" s="2">
        <v>0.43584876543209872</v>
      </c>
      <c r="C8" s="2">
        <v>0.33799999999999997</v>
      </c>
      <c r="D8" s="2">
        <v>9.1999999999999985E-2</v>
      </c>
      <c r="E8" s="2">
        <v>0.11799999999999998</v>
      </c>
      <c r="F8" s="2">
        <v>5.9999999999999984E-3</v>
      </c>
    </row>
    <row r="9" spans="1:6" x14ac:dyDescent="0.2">
      <c r="A9">
        <v>2013</v>
      </c>
      <c r="B9" s="2">
        <v>0.42620521472485218</v>
      </c>
      <c r="C9" s="2">
        <v>0.37162837162837165</v>
      </c>
      <c r="D9" s="2">
        <v>9.8901098901098897E-2</v>
      </c>
      <c r="E9" s="2">
        <v>0.11588411588411587</v>
      </c>
      <c r="F9" s="2">
        <v>8.9910089910089901E-3</v>
      </c>
    </row>
    <row r="10" spans="1:6" x14ac:dyDescent="0.2">
      <c r="A10">
        <v>2014</v>
      </c>
      <c r="B10" s="2">
        <v>0.4149233119821355</v>
      </c>
      <c r="C10" s="2">
        <v>0.35964035964035956</v>
      </c>
      <c r="D10" s="2">
        <v>0.10589410589410587</v>
      </c>
      <c r="E10" s="2">
        <v>0.11588411588411589</v>
      </c>
      <c r="F10" s="2">
        <v>7.992007992007992E-3</v>
      </c>
    </row>
    <row r="11" spans="1:6" x14ac:dyDescent="0.2">
      <c r="A11">
        <v>2015</v>
      </c>
      <c r="B11" s="2">
        <v>0.40695965417867436</v>
      </c>
      <c r="C11" s="2">
        <v>0.28100000000000003</v>
      </c>
      <c r="D11" s="2">
        <v>0.11700000000000001</v>
      </c>
      <c r="E11" s="2">
        <v>0.11299999999999999</v>
      </c>
      <c r="F11" s="2">
        <v>5.9999999999999993E-3</v>
      </c>
    </row>
    <row r="12" spans="1:6" x14ac:dyDescent="0.2">
      <c r="A12">
        <v>2016</v>
      </c>
      <c r="B12" s="2">
        <v>0.40192001730463273</v>
      </c>
      <c r="C12" s="2">
        <v>0.28771228771228768</v>
      </c>
      <c r="D12" s="2">
        <v>0.15084915084915085</v>
      </c>
      <c r="E12" s="2">
        <v>0.11988011988011987</v>
      </c>
      <c r="F12" s="2">
        <v>4.995004995004995E-3</v>
      </c>
    </row>
    <row r="13" spans="1:6" x14ac:dyDescent="0.2">
      <c r="A13">
        <v>2017</v>
      </c>
      <c r="B13" s="2">
        <v>0.39</v>
      </c>
      <c r="C13" s="2">
        <v>0.32</v>
      </c>
      <c r="D13" s="2">
        <v>0.17</v>
      </c>
      <c r="E13" s="2">
        <v>0.11</v>
      </c>
      <c r="F13" s="2">
        <v>1.0000000000000009E-2</v>
      </c>
    </row>
    <row r="14" spans="1:6" x14ac:dyDescent="0.2">
      <c r="A14" t="s">
        <v>24</v>
      </c>
      <c r="B14" s="2">
        <v>0.44</v>
      </c>
      <c r="C14" s="2">
        <v>0.22</v>
      </c>
      <c r="D14" s="2">
        <v>0.21</v>
      </c>
      <c r="E14" s="2">
        <v>0.11</v>
      </c>
      <c r="F14" s="2">
        <f t="shared" ref="F14:F15" si="0">1-SUM(B14:E14)</f>
        <v>2.0000000000000018E-2</v>
      </c>
    </row>
    <row r="15" spans="1:6" x14ac:dyDescent="0.2">
      <c r="A15" t="s">
        <v>25</v>
      </c>
      <c r="B15" s="2">
        <v>0.43</v>
      </c>
      <c r="C15" s="2">
        <v>0.21</v>
      </c>
      <c r="D15" s="2">
        <v>0.23</v>
      </c>
      <c r="E15" s="2">
        <v>0.11</v>
      </c>
      <c r="F15" s="2">
        <f t="shared" si="0"/>
        <v>2.0000000000000018E-2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D. Rhodes</dc:creator>
  <cp:lastModifiedBy>Joshua D. Rhodes</cp:lastModifiedBy>
  <dcterms:created xsi:type="dcterms:W3CDTF">2017-11-01T23:52:53Z</dcterms:created>
  <dcterms:modified xsi:type="dcterms:W3CDTF">2018-01-10T15:25:12Z</dcterms:modified>
</cp:coreProperties>
</file>